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mc:AlternateContent xmlns:mc="http://schemas.openxmlformats.org/markup-compatibility/2006">
    <mc:Choice Requires="x15">
      <x15ac:absPath xmlns:x15ac="http://schemas.microsoft.com/office/spreadsheetml/2010/11/ac" url="https://lacounty-my.sharepoint.com/personal/dirivera_dpw_lacounty_gov/Documents/Final Maps/Bond Calculation Spreadsheet - MASTER/"/>
    </mc:Choice>
  </mc:AlternateContent>
  <xr:revisionPtr revIDLastSave="118" documentId="8_{CF33EEAB-E30D-4757-88AF-8F0762815C6D}" xr6:coauthVersionLast="47" xr6:coauthVersionMax="47" xr10:uidLastSave="{7CC7A94B-F74D-4561-AA03-8AE4C1A102D4}"/>
  <bookViews>
    <workbookView xWindow="-110" yWindow="-110" windowWidth="25180" windowHeight="16260" tabRatio="816" firstSheet="3" activeTab="7" xr2:uid="{00000000-000D-0000-FFFF-FFFF00000000}"/>
  </bookViews>
  <sheets>
    <sheet name="Title Sheet" sheetId="1" r:id="rId1"/>
    <sheet name="Street Bond and Plan Check" sheetId="2" r:id="rId2"/>
    <sheet name="Signing and Striping" sheetId="9" r:id="rId3"/>
    <sheet name="Grading Bond and Plan Check Fee" sheetId="8" r:id="rId4"/>
    <sheet name="PD&amp;MTD Bond and Plan Check Fee" sheetId="3" r:id="rId5"/>
    <sheet name="Sewer Bond and Plan Check Fee" sheetId="4" r:id="rId6"/>
    <sheet name="Water Bond and Plan Check Fee" sheetId="5" r:id="rId7"/>
    <sheet name="Regional Planning" sheetId="6" r:id="rId8"/>
    <sheet name="Instructions" sheetId="7" state="hidden" r:id="rId9"/>
  </sheets>
  <definedNames>
    <definedName name="CPI">Instructions!$D$6</definedName>
    <definedName name="CPIWAT">Instructions!$H$6</definedName>
    <definedName name="OLE_LINK1" localSheetId="4">'PD&amp;MTD Bond and Plan Check Fee'!$A$157</definedName>
    <definedName name="OLE_LINK1" localSheetId="7">'Regional Planning'!#REF!</definedName>
    <definedName name="OLE_LINK1" localSheetId="5">'Sewer Bond and Plan Check Fee'!$A$111</definedName>
    <definedName name="OLE_LINK1" localSheetId="2">'Signing and Striping'!#REF!</definedName>
    <definedName name="OLE_LINK1" localSheetId="1">'Street Bond and Plan Check'!$A$182</definedName>
    <definedName name="OLE_LINK1" localSheetId="6">'Water Bond and Plan Check Fee'!$A$90</definedName>
    <definedName name="_xlnm.Print_Area" localSheetId="4">'PD&amp;MTD Bond and Plan Check Fee'!$A$1:$G$168</definedName>
    <definedName name="_xlnm.Print_Area" localSheetId="7">'Regional Planning'!$A$1:$G$76</definedName>
    <definedName name="_xlnm.Print_Area" localSheetId="5">'Sewer Bond and Plan Check Fee'!$A$1:$G$120</definedName>
    <definedName name="_xlnm.Print_Area" localSheetId="6">'Water Bond and Plan Check Fee'!$A$1:$G$148</definedName>
    <definedName name="_xlnm.Print_Titles" localSheetId="4">'PD&amp;MTD Bond and Plan Check Fee'!$7:$8</definedName>
    <definedName name="_xlnm.Print_Titles" localSheetId="7">'Regional Planning'!$6:$7</definedName>
    <definedName name="_xlnm.Print_Titles" localSheetId="5">'Sewer Bond and Plan Check Fee'!$7:$8</definedName>
    <definedName name="_xlnm.Print_Titles" localSheetId="2">'Signing and Striping'!$7:$8</definedName>
    <definedName name="_xlnm.Print_Titles" localSheetId="1">'Street Bond and Plan Check'!$6:$7</definedName>
    <definedName name="_xlnm.Print_Titles" localSheetId="6">'Water Bond and Plan Check Fee'!$7:$8</definedName>
    <definedName name="Z_0CFDFAE3_BA5A_49B1_8AEF_ACE06B5A41A2_.wvu.PrintArea" localSheetId="4" hidden="1">'PD&amp;MTD Bond and Plan Check Fee'!$A$1:$G$171</definedName>
    <definedName name="Z_0CFDFAE3_BA5A_49B1_8AEF_ACE06B5A41A2_.wvu.PrintArea" localSheetId="7" hidden="1">'Regional Planning'!$A$1:$G$76</definedName>
    <definedName name="Z_0CFDFAE3_BA5A_49B1_8AEF_ACE06B5A41A2_.wvu.PrintArea" localSheetId="5" hidden="1">'Sewer Bond and Plan Check Fee'!$A$1:$G$120</definedName>
    <definedName name="Z_0CFDFAE3_BA5A_49B1_8AEF_ACE06B5A41A2_.wvu.PrintTitles" localSheetId="4" hidden="1">'PD&amp;MTD Bond and Plan Check Fee'!$7:$8</definedName>
    <definedName name="Z_0CFDFAE3_BA5A_49B1_8AEF_ACE06B5A41A2_.wvu.PrintTitles" localSheetId="7" hidden="1">'Regional Planning'!$6:$7</definedName>
    <definedName name="Z_0CFDFAE3_BA5A_49B1_8AEF_ACE06B5A41A2_.wvu.PrintTitles" localSheetId="5" hidden="1">'Sewer Bond and Plan Check Fee'!$7:$8</definedName>
    <definedName name="Z_0CFDFAE3_BA5A_49B1_8AEF_ACE06B5A41A2_.wvu.PrintTitles" localSheetId="2" hidden="1">'Signing and Striping'!$7:$8</definedName>
    <definedName name="Z_0CFDFAE3_BA5A_49B1_8AEF_ACE06B5A41A2_.wvu.PrintTitles" localSheetId="1" hidden="1">'Street Bond and Plan Check'!$6:$7</definedName>
    <definedName name="Z_0CFDFAE3_BA5A_49B1_8AEF_ACE06B5A41A2_.wvu.PrintTitles" localSheetId="6" hidden="1">'Water Bond and Plan Check Fee'!$7:$8</definedName>
    <definedName name="Z_0CFDFAE3_BA5A_49B1_8AEF_ACE06B5A41A2_.wvu.Rows" localSheetId="5" hidden="1">'Sewer Bond and Plan Check Fee'!$93:$93</definedName>
    <definedName name="Z_0CFDFAE3_BA5A_49B1_8AEF_ACE06B5A41A2_.wvu.Rows" localSheetId="2" hidden="1">'Signing and Striping'!#REF!</definedName>
    <definedName name="Z_0CFDFAE3_BA5A_49B1_8AEF_ACE06B5A41A2_.wvu.Rows" localSheetId="1" hidden="1">'Street Bond and Plan Check'!$76:$96</definedName>
  </definedNames>
  <calcPr calcId="191029"/>
  <customWorkbookViews>
    <customWorkbookView name="Diego Gabriel Rivera - Personal View" guid="{0CFDFAE3-BA5A-49B1-8AEF-ACE06B5A41A2}" mergeInterval="0" personalView="1" maximized="1" windowWidth="1659" windowHeight="717" activeSheetId="2"/>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76" i="2" l="1"/>
  <c r="H177" i="2" s="1"/>
  <c r="H178" i="2" s="1"/>
  <c r="H175" i="2"/>
  <c r="G104" i="3" l="1"/>
  <c r="G105" i="3"/>
  <c r="G106" i="3"/>
  <c r="G107" i="3"/>
  <c r="G108" i="3"/>
  <c r="G109" i="3"/>
  <c r="G110" i="3"/>
  <c r="G111" i="3"/>
  <c r="G112" i="3"/>
  <c r="G113" i="3"/>
  <c r="G114" i="3"/>
  <c r="H7" i="7" l="1"/>
  <c r="H8" i="7"/>
  <c r="H9" i="7"/>
  <c r="H10" i="7"/>
  <c r="H11" i="7"/>
  <c r="H12" i="7"/>
  <c r="H13" i="7"/>
  <c r="H14" i="7"/>
  <c r="H15" i="7"/>
  <c r="H16" i="7"/>
  <c r="H17" i="7"/>
  <c r="H18" i="7"/>
  <c r="H19" i="7"/>
  <c r="H20" i="7"/>
  <c r="H21" i="7"/>
  <c r="H22" i="7"/>
  <c r="H23" i="7"/>
  <c r="H24" i="7"/>
  <c r="H25" i="7"/>
  <c r="H26" i="7"/>
  <c r="H27" i="7"/>
  <c r="H28" i="7"/>
  <c r="H29" i="7"/>
  <c r="H30" i="7"/>
  <c r="H31" i="7"/>
  <c r="H32" i="7"/>
  <c r="H33" i="7"/>
  <c r="H34" i="7"/>
  <c r="H35" i="7"/>
  <c r="H36" i="7"/>
  <c r="H103" i="2"/>
  <c r="H74" i="2"/>
  <c r="H49" i="2"/>
  <c r="H38" i="2"/>
  <c r="H23" i="2"/>
  <c r="G103" i="3"/>
  <c r="G89" i="3"/>
  <c r="G78" i="3"/>
  <c r="G72" i="3"/>
  <c r="G65" i="3"/>
  <c r="G57" i="3"/>
  <c r="G47" i="3"/>
  <c r="G28" i="3"/>
  <c r="D7" i="7"/>
  <c r="D8" i="7"/>
  <c r="D9" i="7"/>
  <c r="D10" i="7"/>
  <c r="D11" i="7"/>
  <c r="D12" i="7"/>
  <c r="D13" i="7"/>
  <c r="D14" i="7"/>
  <c r="D15" i="7"/>
  <c r="D16" i="7"/>
  <c r="D17" i="7"/>
  <c r="D18" i="7"/>
  <c r="D19" i="7"/>
  <c r="D20" i="7"/>
  <c r="D21" i="7"/>
  <c r="D22" i="7"/>
  <c r="D23" i="7"/>
  <c r="D24" i="7"/>
  <c r="D25" i="7"/>
  <c r="D26" i="7"/>
  <c r="D27" i="7"/>
  <c r="D28" i="7"/>
  <c r="D29" i="7"/>
  <c r="D30" i="7"/>
  <c r="D31" i="7"/>
  <c r="D32" i="7"/>
  <c r="D33" i="7"/>
  <c r="D34" i="7"/>
  <c r="D35" i="7"/>
  <c r="D36" i="7"/>
  <c r="G35" i="4"/>
  <c r="G27" i="4"/>
  <c r="G22" i="4"/>
  <c r="G35" i="6"/>
  <c r="G26" i="6"/>
  <c r="G18" i="6"/>
  <c r="J9" i="8"/>
  <c r="D13" i="8" s="1"/>
  <c r="D15" i="8"/>
  <c r="D18" i="8"/>
  <c r="H73" i="2"/>
  <c r="H78" i="2"/>
  <c r="H79" i="2"/>
  <c r="H80" i="2"/>
  <c r="H81" i="2"/>
  <c r="H82" i="2"/>
  <c r="H83" i="2"/>
  <c r="H85" i="2"/>
  <c r="H86" i="2"/>
  <c r="H87" i="2"/>
  <c r="H88" i="2"/>
  <c r="H89" i="2"/>
  <c r="H90" i="2"/>
  <c r="H91" i="2"/>
  <c r="H92" i="2"/>
  <c r="H93" i="2"/>
  <c r="H95" i="2"/>
  <c r="H96" i="2"/>
  <c r="H143" i="2"/>
  <c r="F73" i="2"/>
  <c r="G51" i="6"/>
  <c r="G55" i="5"/>
  <c r="G56" i="5"/>
  <c r="G57" i="5"/>
  <c r="G52" i="4"/>
  <c r="G117" i="3"/>
  <c r="G52" i="6"/>
  <c r="G53" i="6"/>
  <c r="G58" i="5"/>
  <c r="G126" i="3"/>
  <c r="G102" i="3"/>
  <c r="G115" i="3"/>
  <c r="G116" i="3"/>
  <c r="G118" i="3"/>
  <c r="G119" i="3"/>
  <c r="G120" i="3"/>
  <c r="G121" i="3"/>
  <c r="G122" i="3"/>
  <c r="G123" i="3"/>
  <c r="G124" i="3"/>
  <c r="G125" i="3"/>
  <c r="G46" i="3"/>
  <c r="G56" i="3"/>
  <c r="G71" i="3"/>
  <c r="G76" i="3"/>
  <c r="G99" i="3"/>
  <c r="G101" i="3"/>
  <c r="G40" i="4"/>
  <c r="G39" i="4"/>
  <c r="G55" i="4"/>
  <c r="F79" i="5"/>
  <c r="F80" i="5" s="1"/>
  <c r="G48" i="5"/>
  <c r="G49" i="5"/>
  <c r="G50" i="5"/>
  <c r="F85" i="5"/>
  <c r="F84" i="5"/>
  <c r="F83" i="5"/>
  <c r="F81" i="5"/>
  <c r="G61" i="5"/>
  <c r="F82" i="5"/>
  <c r="G129" i="3"/>
  <c r="B171" i="3" l="1"/>
  <c r="C100" i="3"/>
  <c r="G100" i="3" s="1"/>
  <c r="C21" i="3"/>
  <c r="G21" i="3" s="1"/>
  <c r="C88" i="3"/>
  <c r="G88" i="3" s="1"/>
  <c r="C50" i="3"/>
  <c r="G50" i="3" s="1"/>
  <c r="C15" i="3"/>
  <c r="G15" i="3" s="1"/>
  <c r="C55" i="3"/>
  <c r="G55" i="3" s="1"/>
  <c r="C20" i="3"/>
  <c r="G20" i="3" s="1"/>
  <c r="C64" i="3"/>
  <c r="G64" i="3" s="1"/>
  <c r="C32" i="3"/>
  <c r="G32" i="3" s="1"/>
  <c r="C54" i="3"/>
  <c r="G54" i="3" s="1"/>
  <c r="C19" i="3"/>
  <c r="G19" i="3" s="1"/>
  <c r="C24" i="3"/>
  <c r="G24" i="3" s="1"/>
  <c r="C75" i="3"/>
  <c r="G75" i="3" s="1"/>
  <c r="C53" i="3"/>
  <c r="G53" i="3" s="1"/>
  <c r="C40" i="3"/>
  <c r="G40" i="3" s="1"/>
  <c r="C62" i="3"/>
  <c r="G62" i="3" s="1"/>
  <c r="C23" i="3"/>
  <c r="G23" i="3" s="1"/>
  <c r="C31" i="3"/>
  <c r="G31" i="3" s="1"/>
  <c r="C22" i="3"/>
  <c r="G22" i="3" s="1"/>
  <c r="C69" i="3"/>
  <c r="G69" i="3" s="1"/>
  <c r="C82" i="3"/>
  <c r="G82" i="3" s="1"/>
  <c r="C87" i="3"/>
  <c r="G87" i="3" s="1"/>
  <c r="C26" i="3"/>
  <c r="G26" i="3" s="1"/>
  <c r="C34" i="3"/>
  <c r="G34" i="3" s="1"/>
  <c r="C94" i="3"/>
  <c r="G94" i="3" s="1"/>
  <c r="C85" i="3"/>
  <c r="G85" i="3" s="1"/>
  <c r="C93" i="3"/>
  <c r="G93" i="3" s="1"/>
  <c r="C16" i="3"/>
  <c r="G16" i="3" s="1"/>
  <c r="G128" i="3" s="1"/>
  <c r="G130" i="3" s="1"/>
  <c r="G131" i="3" s="1"/>
  <c r="C36" i="3"/>
  <c r="G36" i="3" s="1"/>
  <c r="C95" i="3"/>
  <c r="G95" i="3" s="1"/>
  <c r="C63" i="3"/>
  <c r="G63" i="3" s="1"/>
  <c r="C18" i="3"/>
  <c r="G18" i="3" s="1"/>
  <c r="C70" i="3"/>
  <c r="G70" i="3" s="1"/>
  <c r="C83" i="3"/>
  <c r="G83" i="3" s="1"/>
  <c r="C44" i="3"/>
  <c r="G44" i="3" s="1"/>
  <c r="C27" i="3"/>
  <c r="G27" i="3" s="1"/>
  <c r="C35" i="3"/>
  <c r="G35" i="3" s="1"/>
  <c r="C61" i="3"/>
  <c r="G61" i="3" s="1"/>
  <c r="C81" i="3"/>
  <c r="G81" i="3" s="1"/>
  <c r="C86" i="3"/>
  <c r="G86" i="3" s="1"/>
  <c r="C39" i="3"/>
  <c r="G39" i="3" s="1"/>
  <c r="C68" i="3"/>
  <c r="G68" i="3" s="1"/>
  <c r="C33" i="3"/>
  <c r="G33" i="3" s="1"/>
  <c r="C38" i="3"/>
  <c r="G38" i="3" s="1"/>
  <c r="C43" i="3"/>
  <c r="G43" i="3" s="1"/>
  <c r="C98" i="3"/>
  <c r="G98" i="3" s="1"/>
  <c r="C51" i="3"/>
  <c r="G51" i="3" s="1"/>
  <c r="C25" i="3"/>
  <c r="G25" i="3" s="1"/>
  <c r="C77" i="3"/>
  <c r="G77" i="3" s="1"/>
  <c r="C37" i="3"/>
  <c r="G37" i="3" s="1"/>
  <c r="C92" i="3"/>
  <c r="G92" i="3" s="1"/>
  <c r="C42" i="3"/>
  <c r="G42" i="3" s="1"/>
  <c r="C97" i="3"/>
  <c r="G97" i="3" s="1"/>
  <c r="C52" i="3"/>
  <c r="G52" i="3" s="1"/>
  <c r="C17" i="3"/>
  <c r="G17" i="3" s="1"/>
  <c r="C84" i="3"/>
  <c r="G84" i="3" s="1"/>
  <c r="C41" i="3"/>
  <c r="G41" i="3" s="1"/>
  <c r="C96" i="3"/>
  <c r="G96" i="3" s="1"/>
  <c r="C60" i="3"/>
  <c r="G60" i="3" s="1"/>
  <c r="D16" i="8"/>
  <c r="D22" i="8" s="1"/>
  <c r="F37" i="8"/>
  <c r="D28" i="8"/>
  <c r="D6" i="7"/>
  <c r="C124" i="2" s="1"/>
  <c r="J29" i="8"/>
  <c r="H6" i="7"/>
  <c r="C20" i="5" s="1"/>
  <c r="G20" i="5" s="1"/>
  <c r="J13" i="8"/>
  <c r="D29" i="8"/>
  <c r="J28" i="8"/>
  <c r="F86" i="5"/>
  <c r="C26" i="2" l="1"/>
  <c r="H26" i="2" s="1"/>
  <c r="C16" i="2"/>
  <c r="J31" i="8"/>
  <c r="D37" i="8" s="1"/>
  <c r="D39" i="8" s="1"/>
  <c r="J39" i="8" s="1"/>
  <c r="C43" i="6"/>
  <c r="G43" i="6" s="1"/>
  <c r="F25" i="9"/>
  <c r="C30" i="2"/>
  <c r="H30" i="2" s="1"/>
  <c r="F108" i="2"/>
  <c r="C44" i="9"/>
  <c r="H44" i="9" s="1"/>
  <c r="C30" i="9"/>
  <c r="H30" i="9" s="1"/>
  <c r="F33" i="2"/>
  <c r="C17" i="2"/>
  <c r="H17" i="2" s="1"/>
  <c r="C64" i="9"/>
  <c r="H64" i="9" s="1"/>
  <c r="F27" i="9"/>
  <c r="C16" i="6"/>
  <c r="G16" i="6" s="1"/>
  <c r="F18" i="2"/>
  <c r="F64" i="9"/>
  <c r="C37" i="9"/>
  <c r="H37" i="9" s="1"/>
  <c r="F48" i="2"/>
  <c r="F47" i="9"/>
  <c r="F71" i="2"/>
  <c r="F63" i="2"/>
  <c r="C52" i="9"/>
  <c r="H52" i="9" s="1"/>
  <c r="C42" i="6"/>
  <c r="G42" i="6" s="1"/>
  <c r="F42" i="2"/>
  <c r="C25" i="4"/>
  <c r="G25" i="4" s="1"/>
  <c r="F26" i="9"/>
  <c r="C42" i="9"/>
  <c r="H42" i="9" s="1"/>
  <c r="F44" i="9"/>
  <c r="F124" i="2"/>
  <c r="F75" i="9"/>
  <c r="C36" i="2"/>
  <c r="H36" i="2" s="1"/>
  <c r="C33" i="5"/>
  <c r="G33" i="5" s="1"/>
  <c r="C32" i="5"/>
  <c r="G32" i="5" s="1"/>
  <c r="C39" i="5"/>
  <c r="G39" i="5" s="1"/>
  <c r="C40" i="5"/>
  <c r="G40" i="5" s="1"/>
  <c r="C18" i="5"/>
  <c r="G18" i="5" s="1"/>
  <c r="C22" i="5"/>
  <c r="G22" i="5" s="1"/>
  <c r="C52" i="5"/>
  <c r="G52" i="5" s="1"/>
  <c r="C41" i="5"/>
  <c r="G41" i="5" s="1"/>
  <c r="C51" i="5"/>
  <c r="G51" i="5" s="1"/>
  <c r="C46" i="5"/>
  <c r="G46" i="5" s="1"/>
  <c r="C34" i="5"/>
  <c r="G34" i="5" s="1"/>
  <c r="C19" i="5"/>
  <c r="G19" i="5" s="1"/>
  <c r="C24" i="5"/>
  <c r="G24" i="5" s="1"/>
  <c r="C23" i="5"/>
  <c r="G23" i="5" s="1"/>
  <c r="C28" i="5"/>
  <c r="G28" i="5" s="1"/>
  <c r="C27" i="5"/>
  <c r="G27" i="5" s="1"/>
  <c r="C38" i="5"/>
  <c r="G38" i="5" s="1"/>
  <c r="C53" i="5"/>
  <c r="G53" i="5" s="1"/>
  <c r="C17" i="5"/>
  <c r="G17" i="5" s="1"/>
  <c r="C44" i="5"/>
  <c r="G44" i="5" s="1"/>
  <c r="C29" i="5"/>
  <c r="G29" i="5" s="1"/>
  <c r="C45" i="5"/>
  <c r="G45" i="5" s="1"/>
  <c r="C21" i="5"/>
  <c r="G21" i="5" s="1"/>
  <c r="C54" i="5"/>
  <c r="G54" i="5" s="1"/>
  <c r="C16" i="5"/>
  <c r="G16" i="5" s="1"/>
  <c r="C47" i="5"/>
  <c r="G47" i="5" s="1"/>
  <c r="C42" i="4"/>
  <c r="G42" i="4" s="1"/>
  <c r="C21" i="2"/>
  <c r="H21" i="2" s="1"/>
  <c r="C14" i="6"/>
  <c r="G14" i="6" s="1"/>
  <c r="C47" i="9"/>
  <c r="H47" i="9" s="1"/>
  <c r="C20" i="2"/>
  <c r="H20" i="2" s="1"/>
  <c r="C32" i="4"/>
  <c r="G32" i="4" s="1"/>
  <c r="C111" i="2"/>
  <c r="H111" i="2" s="1"/>
  <c r="F48" i="9"/>
  <c r="F22" i="2"/>
  <c r="C20" i="4"/>
  <c r="G20" i="4" s="1"/>
  <c r="C47" i="6"/>
  <c r="G47" i="6" s="1"/>
  <c r="C54" i="9"/>
  <c r="H54" i="9" s="1"/>
  <c r="C42" i="2"/>
  <c r="H42" i="2" s="1"/>
  <c r="C31" i="4"/>
  <c r="G31" i="4" s="1"/>
  <c r="F60" i="2"/>
  <c r="C29" i="6"/>
  <c r="G29" i="6" s="1"/>
  <c r="F69" i="9"/>
  <c r="C61" i="9"/>
  <c r="H61" i="9" s="1"/>
  <c r="C52" i="2"/>
  <c r="H52" i="2" s="1"/>
  <c r="F30" i="2"/>
  <c r="F21" i="9"/>
  <c r="F43" i="9"/>
  <c r="C68" i="9"/>
  <c r="H68" i="9" s="1"/>
  <c r="C59" i="2"/>
  <c r="H59" i="2" s="1"/>
  <c r="C59" i="9"/>
  <c r="H59" i="9" s="1"/>
  <c r="C58" i="2"/>
  <c r="H58" i="2" s="1"/>
  <c r="F55" i="2"/>
  <c r="F37" i="9"/>
  <c r="C24" i="6"/>
  <c r="G24" i="6" s="1"/>
  <c r="C30" i="6"/>
  <c r="G30" i="6" s="1"/>
  <c r="C66" i="9"/>
  <c r="H66" i="9" s="1"/>
  <c r="C57" i="2"/>
  <c r="H57" i="2" s="1"/>
  <c r="F34" i="9"/>
  <c r="F28" i="2"/>
  <c r="F113" i="2"/>
  <c r="F72" i="9"/>
  <c r="C73" i="9"/>
  <c r="H73" i="9" s="1"/>
  <c r="C64" i="2"/>
  <c r="H64" i="2" s="1"/>
  <c r="C19" i="2"/>
  <c r="H19" i="2" s="1"/>
  <c r="F116" i="2"/>
  <c r="F66" i="9"/>
  <c r="F17" i="2"/>
  <c r="F31" i="9"/>
  <c r="C38" i="9"/>
  <c r="H38" i="9" s="1"/>
  <c r="C19" i="9"/>
  <c r="H19" i="9" s="1"/>
  <c r="C81" i="9"/>
  <c r="H81" i="9" s="1"/>
  <c r="F68" i="2"/>
  <c r="C26" i="4"/>
  <c r="G26" i="4" s="1"/>
  <c r="F67" i="2"/>
  <c r="F71" i="9"/>
  <c r="F78" i="9"/>
  <c r="C46" i="9"/>
  <c r="H46" i="9" s="1"/>
  <c r="C31" i="2"/>
  <c r="H31" i="2" s="1"/>
  <c r="F61" i="9"/>
  <c r="F37" i="2"/>
  <c r="F79" i="9"/>
  <c r="C38" i="6"/>
  <c r="G38" i="6" s="1"/>
  <c r="C53" i="9"/>
  <c r="H53" i="9" s="1"/>
  <c r="C41" i="2"/>
  <c r="H41" i="2" s="1"/>
  <c r="F56" i="2"/>
  <c r="C17" i="6"/>
  <c r="G17" i="6" s="1"/>
  <c r="F32" i="9"/>
  <c r="C60" i="9"/>
  <c r="H60" i="9" s="1"/>
  <c r="C48" i="2"/>
  <c r="H48" i="2" s="1"/>
  <c r="C51" i="9"/>
  <c r="H51" i="9" s="1"/>
  <c r="C47" i="2"/>
  <c r="H47" i="2" s="1"/>
  <c r="F27" i="2"/>
  <c r="F44" i="2"/>
  <c r="C48" i="4"/>
  <c r="G48" i="4" s="1"/>
  <c r="C23" i="6"/>
  <c r="G23" i="6" s="1"/>
  <c r="C58" i="9"/>
  <c r="H58" i="9" s="1"/>
  <c r="C46" i="2"/>
  <c r="H46" i="2" s="1"/>
  <c r="C41" i="6"/>
  <c r="G41" i="6" s="1"/>
  <c r="F100" i="2"/>
  <c r="C32" i="6"/>
  <c r="G32" i="6" s="1"/>
  <c r="C46" i="6"/>
  <c r="G46" i="6" s="1"/>
  <c r="C65" i="9"/>
  <c r="H65" i="9" s="1"/>
  <c r="C56" i="2"/>
  <c r="H56" i="2" s="1"/>
  <c r="C17" i="4"/>
  <c r="G17" i="4" s="1"/>
  <c r="C37" i="2"/>
  <c r="H37" i="2" s="1"/>
  <c r="F17" i="9"/>
  <c r="F112" i="2"/>
  <c r="F55" i="9"/>
  <c r="C47" i="4"/>
  <c r="G47" i="4" s="1"/>
  <c r="C50" i="9"/>
  <c r="H50" i="9" s="1"/>
  <c r="C35" i="2"/>
  <c r="H35" i="2" s="1"/>
  <c r="C41" i="4"/>
  <c r="G41" i="4" s="1"/>
  <c r="C45" i="2"/>
  <c r="H45" i="2" s="1"/>
  <c r="F130" i="2"/>
  <c r="C72" i="9"/>
  <c r="H72" i="9" s="1"/>
  <c r="F107" i="2"/>
  <c r="F70" i="9"/>
  <c r="C70" i="2"/>
  <c r="H70" i="2" s="1"/>
  <c r="F72" i="2"/>
  <c r="C39" i="9"/>
  <c r="H39" i="9" s="1"/>
  <c r="F70" i="2"/>
  <c r="C46" i="4"/>
  <c r="G46" i="4" s="1"/>
  <c r="F66" i="2"/>
  <c r="F40" i="9"/>
  <c r="C33" i="4"/>
  <c r="G33" i="4" s="1"/>
  <c r="C29" i="9"/>
  <c r="H29" i="9" s="1"/>
  <c r="C112" i="2"/>
  <c r="H112" i="2" s="1"/>
  <c r="C39" i="6"/>
  <c r="G39" i="6" s="1"/>
  <c r="F19" i="2"/>
  <c r="C15" i="6"/>
  <c r="G15" i="6" s="1"/>
  <c r="F29" i="9"/>
  <c r="C36" i="9"/>
  <c r="H36" i="9" s="1"/>
  <c r="H16" i="2"/>
  <c r="F59" i="2"/>
  <c r="F30" i="9"/>
  <c r="F50" i="9"/>
  <c r="C43" i="9"/>
  <c r="H43" i="9" s="1"/>
  <c r="C29" i="2"/>
  <c r="H29" i="2" s="1"/>
  <c r="C34" i="9"/>
  <c r="H34" i="9" s="1"/>
  <c r="C28" i="2"/>
  <c r="H28" i="2" s="1"/>
  <c r="F51" i="9"/>
  <c r="F106" i="2"/>
  <c r="F38" i="9"/>
  <c r="F58" i="9"/>
  <c r="C41" i="9"/>
  <c r="H41" i="9" s="1"/>
  <c r="C27" i="2"/>
  <c r="H27" i="2" s="1"/>
  <c r="F36" i="9"/>
  <c r="F43" i="2"/>
  <c r="F59" i="9"/>
  <c r="C51" i="4"/>
  <c r="G51" i="4" s="1"/>
  <c r="C49" i="9"/>
  <c r="H49" i="9" s="1"/>
  <c r="C34" i="2"/>
  <c r="H34" i="2" s="1"/>
  <c r="F20" i="2"/>
  <c r="F102" i="2"/>
  <c r="F41" i="2"/>
  <c r="C106" i="2"/>
  <c r="H106" i="2" s="1"/>
  <c r="C21" i="9"/>
  <c r="H21" i="9" s="1"/>
  <c r="F33" i="9"/>
  <c r="C18" i="4"/>
  <c r="G18" i="4" s="1"/>
  <c r="F41" i="9"/>
  <c r="F54" i="9"/>
  <c r="F62" i="9"/>
  <c r="C40" i="9"/>
  <c r="H40" i="9" s="1"/>
  <c r="C22" i="2"/>
  <c r="H22" i="2" s="1"/>
  <c r="C118" i="2"/>
  <c r="H118" i="2" s="1"/>
  <c r="F18" i="9"/>
  <c r="F69" i="2"/>
  <c r="C45" i="4"/>
  <c r="G45" i="4" s="1"/>
  <c r="C24" i="9"/>
  <c r="H24" i="9" s="1"/>
  <c r="C25" i="6"/>
  <c r="G25" i="6" s="1"/>
  <c r="F36" i="2"/>
  <c r="C35" i="9"/>
  <c r="H35" i="9" s="1"/>
  <c r="C109" i="2"/>
  <c r="H109" i="2" s="1"/>
  <c r="F115" i="2"/>
  <c r="F109" i="2"/>
  <c r="F154" i="2"/>
  <c r="C80" i="9"/>
  <c r="H80" i="9" s="1"/>
  <c r="C40" i="6"/>
  <c r="G40" i="6" s="1"/>
  <c r="C71" i="2"/>
  <c r="H71" i="2" s="1"/>
  <c r="C44" i="6"/>
  <c r="G44" i="6" s="1"/>
  <c r="C107" i="2"/>
  <c r="H107" i="2" s="1"/>
  <c r="F65" i="2"/>
  <c r="F52" i="9"/>
  <c r="C79" i="9"/>
  <c r="H79" i="9" s="1"/>
  <c r="C69" i="2"/>
  <c r="H69" i="2" s="1"/>
  <c r="F110" i="2"/>
  <c r="C56" i="9"/>
  <c r="H56" i="9" s="1"/>
  <c r="F35" i="2"/>
  <c r="C49" i="4"/>
  <c r="G49" i="4" s="1"/>
  <c r="G29" i="8"/>
  <c r="C102" i="2"/>
  <c r="H102" i="2" s="1"/>
  <c r="F29" i="2"/>
  <c r="F58" i="2"/>
  <c r="C33" i="6"/>
  <c r="G33" i="6" s="1"/>
  <c r="F81" i="9"/>
  <c r="C28" i="9"/>
  <c r="H28" i="9" s="1"/>
  <c r="C114" i="2"/>
  <c r="H114" i="2" s="1"/>
  <c r="C20" i="9"/>
  <c r="H20" i="9" s="1"/>
  <c r="C115" i="2"/>
  <c r="H115" i="2" s="1"/>
  <c r="C30" i="4"/>
  <c r="G30" i="4" s="1"/>
  <c r="F118" i="2"/>
  <c r="C45" i="6"/>
  <c r="G45" i="6" s="1"/>
  <c r="F65" i="9"/>
  <c r="C18" i="9"/>
  <c r="H18" i="9" s="1"/>
  <c r="F54" i="2"/>
  <c r="F57" i="9"/>
  <c r="F46" i="2"/>
  <c r="F49" i="9"/>
  <c r="C22" i="6"/>
  <c r="G22" i="6" s="1"/>
  <c r="C32" i="9"/>
  <c r="H32" i="9" s="1"/>
  <c r="C110" i="2"/>
  <c r="H110" i="2" s="1"/>
  <c r="C31" i="6"/>
  <c r="G31" i="6" s="1"/>
  <c r="C48" i="9"/>
  <c r="H48" i="9" s="1"/>
  <c r="C62" i="2"/>
  <c r="H62" i="2" s="1"/>
  <c r="C71" i="9"/>
  <c r="H71" i="9" s="1"/>
  <c r="G28" i="8"/>
  <c r="C50" i="6"/>
  <c r="G50" i="6" s="1"/>
  <c r="C15" i="4"/>
  <c r="G15" i="4" s="1"/>
  <c r="C113" i="2"/>
  <c r="H113" i="2" s="1"/>
  <c r="C50" i="4"/>
  <c r="G50" i="4" s="1"/>
  <c r="C108" i="2"/>
  <c r="H108" i="2" s="1"/>
  <c r="C27" i="9"/>
  <c r="H27" i="9" s="1"/>
  <c r="F32" i="2"/>
  <c r="F77" i="9"/>
  <c r="C33" i="9"/>
  <c r="H33" i="9" s="1"/>
  <c r="C116" i="2"/>
  <c r="H116" i="2" s="1"/>
  <c r="F42" i="9"/>
  <c r="C31" i="9"/>
  <c r="H31" i="9" s="1"/>
  <c r="C54" i="2"/>
  <c r="H54" i="2" s="1"/>
  <c r="F63" i="9"/>
  <c r="C17" i="9"/>
  <c r="H17" i="9" s="1"/>
  <c r="C16" i="4"/>
  <c r="G16" i="4" s="1"/>
  <c r="C63" i="9"/>
  <c r="H63" i="9" s="1"/>
  <c r="C43" i="2"/>
  <c r="H43" i="2" s="1"/>
  <c r="F46" i="9"/>
  <c r="C55" i="2"/>
  <c r="H55" i="2" s="1"/>
  <c r="F67" i="9"/>
  <c r="F21" i="2"/>
  <c r="F19" i="9"/>
  <c r="F35" i="9"/>
  <c r="C70" i="9"/>
  <c r="H70" i="9" s="1"/>
  <c r="C61" i="2"/>
  <c r="H61" i="2" s="1"/>
  <c r="F99" i="2"/>
  <c r="C33" i="2"/>
  <c r="H33" i="2" s="1"/>
  <c r="F61" i="2"/>
  <c r="F56" i="9"/>
  <c r="C78" i="9"/>
  <c r="H78" i="9" s="1"/>
  <c r="C68" i="2"/>
  <c r="H68" i="2" s="1"/>
  <c r="F111" i="2"/>
  <c r="F31" i="2"/>
  <c r="C34" i="4"/>
  <c r="G34" i="4" s="1"/>
  <c r="F16" i="2"/>
  <c r="C101" i="2"/>
  <c r="H101" i="2" s="1"/>
  <c r="C76" i="9"/>
  <c r="H76" i="9" s="1"/>
  <c r="C100" i="2"/>
  <c r="H100" i="2" s="1"/>
  <c r="C18" i="2"/>
  <c r="H18" i="2" s="1"/>
  <c r="F24" i="9"/>
  <c r="F45" i="2"/>
  <c r="C21" i="4"/>
  <c r="G21" i="4" s="1"/>
  <c r="C130" i="2"/>
  <c r="H130" i="2" s="1"/>
  <c r="H131" i="2" s="1"/>
  <c r="C99" i="2"/>
  <c r="H99" i="2" s="1"/>
  <c r="F53" i="2"/>
  <c r="F26" i="2"/>
  <c r="F114" i="2"/>
  <c r="C49" i="6"/>
  <c r="G49" i="6" s="1"/>
  <c r="F28" i="9"/>
  <c r="C26" i="9"/>
  <c r="H26" i="9" s="1"/>
  <c r="C117" i="2"/>
  <c r="H117" i="2" s="1"/>
  <c r="C57" i="9"/>
  <c r="H57" i="9" s="1"/>
  <c r="C154" i="2"/>
  <c r="H154" i="2" s="1"/>
  <c r="H156" i="2" s="1"/>
  <c r="H160" i="2" s="1"/>
  <c r="C25" i="9"/>
  <c r="H25" i="9" s="1"/>
  <c r="F62" i="2"/>
  <c r="C21" i="6"/>
  <c r="G21" i="6" s="1"/>
  <c r="C63" i="2"/>
  <c r="H63" i="2" s="1"/>
  <c r="C34" i="6"/>
  <c r="G34" i="6" s="1"/>
  <c r="C55" i="9"/>
  <c r="H55" i="9" s="1"/>
  <c r="C32" i="2"/>
  <c r="H32" i="2" s="1"/>
  <c r="F80" i="9"/>
  <c r="C44" i="2"/>
  <c r="H44" i="2" s="1"/>
  <c r="F73" i="9"/>
  <c r="F64" i="2"/>
  <c r="C48" i="6"/>
  <c r="G48" i="6" s="1"/>
  <c r="F53" i="9"/>
  <c r="C62" i="9"/>
  <c r="H62" i="9" s="1"/>
  <c r="C53" i="2"/>
  <c r="H53" i="2" s="1"/>
  <c r="F101" i="2"/>
  <c r="F34" i="2"/>
  <c r="F20" i="9"/>
  <c r="F39" i="9"/>
  <c r="C69" i="9"/>
  <c r="H69" i="9" s="1"/>
  <c r="C60" i="2"/>
  <c r="H60" i="2" s="1"/>
  <c r="C67" i="6"/>
  <c r="G67" i="6" s="1"/>
  <c r="G69" i="6" s="1"/>
  <c r="G70" i="6" s="1"/>
  <c r="G71" i="6" s="1"/>
  <c r="G72" i="6" s="1"/>
  <c r="F57" i="2"/>
  <c r="F60" i="9"/>
  <c r="C77" i="9"/>
  <c r="H77" i="9" s="1"/>
  <c r="C67" i="2"/>
  <c r="H67" i="2" s="1"/>
  <c r="C67" i="9"/>
  <c r="H67" i="9" s="1"/>
  <c r="C66" i="2"/>
  <c r="H66" i="2" s="1"/>
  <c r="C19" i="4"/>
  <c r="G19" i="4" s="1"/>
  <c r="C43" i="4"/>
  <c r="G43" i="4" s="1"/>
  <c r="F117" i="2"/>
  <c r="F68" i="9"/>
  <c r="C75" i="9"/>
  <c r="H75" i="9" s="1"/>
  <c r="C65" i="2"/>
  <c r="H65" i="2" s="1"/>
  <c r="C44" i="4"/>
  <c r="G44" i="4" s="1"/>
  <c r="F47" i="2"/>
  <c r="F52" i="2"/>
  <c r="F76" i="9"/>
  <c r="H124" i="2"/>
  <c r="H125" i="2" s="1"/>
  <c r="C72" i="2"/>
  <c r="H72" i="2" s="1"/>
  <c r="G133" i="3"/>
  <c r="G132" i="3"/>
  <c r="F140" i="3" s="1"/>
  <c r="F141" i="3" s="1"/>
  <c r="H135" i="2" l="1"/>
  <c r="G73" i="6"/>
  <c r="G60" i="5"/>
  <c r="G62" i="5" s="1"/>
  <c r="H157" i="2"/>
  <c r="H158" i="2" s="1"/>
  <c r="H159" i="2" s="1"/>
  <c r="H161" i="2" s="1"/>
  <c r="H119" i="2"/>
  <c r="H166" i="2" s="1"/>
  <c r="H167" i="2" s="1"/>
  <c r="G54" i="4"/>
  <c r="G55" i="6"/>
  <c r="G56" i="6" s="1"/>
  <c r="G57" i="6" s="1"/>
  <c r="G58" i="6" s="1"/>
  <c r="G59" i="6" s="1"/>
  <c r="H82" i="9"/>
  <c r="H138" i="2" s="1"/>
  <c r="H137" i="2"/>
  <c r="G134" i="3"/>
  <c r="G56" i="4" l="1"/>
  <c r="G57" i="4" s="1"/>
  <c r="G58" i="4" s="1"/>
  <c r="F65" i="4" s="1"/>
  <c r="F66" i="4" s="1"/>
  <c r="G59" i="4"/>
  <c r="G60" i="4"/>
  <c r="H140" i="2"/>
  <c r="I140" i="2" s="1"/>
  <c r="G63" i="5"/>
  <c r="G64" i="5" s="1"/>
  <c r="G65" i="5" s="1"/>
  <c r="H147" i="2" l="1"/>
  <c r="H144" i="2"/>
  <c r="H145" i="2" l="1"/>
  <c r="H146" i="2" s="1"/>
  <c r="H148" i="2" s="1"/>
</calcChain>
</file>

<file path=xl/sharedStrings.xml><?xml version="1.0" encoding="utf-8"?>
<sst xmlns="http://schemas.openxmlformats.org/spreadsheetml/2006/main" count="1099" uniqueCount="579">
  <si>
    <t>Item</t>
  </si>
  <si>
    <t>Quantity</t>
  </si>
  <si>
    <t>Unit Cost</t>
  </si>
  <si>
    <t>Total Cost</t>
  </si>
  <si>
    <t>Pavement Asphalt</t>
  </si>
  <si>
    <t xml:space="preserve">     A.C. (2")</t>
  </si>
  <si>
    <t xml:space="preserve">     A.C. (3")</t>
  </si>
  <si>
    <t xml:space="preserve">     A.C. (4")</t>
  </si>
  <si>
    <t xml:space="preserve">     A.C. (6")</t>
  </si>
  <si>
    <t>P.C. Concrete</t>
  </si>
  <si>
    <t xml:space="preserve">     Sidewalk (4" Thick)</t>
  </si>
  <si>
    <t xml:space="preserve">     Alley Intersection (6")</t>
  </si>
  <si>
    <t xml:space="preserve">     Cross-Gutter (8")</t>
  </si>
  <si>
    <t xml:space="preserve">     Driveway (4")</t>
  </si>
  <si>
    <t xml:space="preserve">     Local Depression (3")</t>
  </si>
  <si>
    <t xml:space="preserve">     Driveway (6")</t>
  </si>
  <si>
    <t xml:space="preserve">     Grouted Rip Rap (6"-12")</t>
  </si>
  <si>
    <t xml:space="preserve">     Grouted Rip Rap (12"-19")</t>
  </si>
  <si>
    <t xml:space="preserve">     Gunite (3")</t>
  </si>
  <si>
    <t xml:space="preserve">     Reinforced Concrete</t>
  </si>
  <si>
    <t>Curb and Gutter</t>
  </si>
  <si>
    <t xml:space="preserve">     P.C.C. Curb</t>
  </si>
  <si>
    <t xml:space="preserve">     A.C. Curb Type D</t>
  </si>
  <si>
    <t xml:space="preserve">     P.C.C. Alley Gutter</t>
  </si>
  <si>
    <t>Miscellaneous Items</t>
  </si>
  <si>
    <t xml:space="preserve">     Street Name Signs</t>
  </si>
  <si>
    <t xml:space="preserve">     Guard Rail</t>
  </si>
  <si>
    <t xml:space="preserve">     Guide Markers</t>
  </si>
  <si>
    <t xml:space="preserve">     Chain Link Fence (5')</t>
  </si>
  <si>
    <t xml:space="preserve">     Chain Link Fence (6')</t>
  </si>
  <si>
    <t xml:space="preserve">     Tree Removal (Ave. 12' D)</t>
  </si>
  <si>
    <t xml:space="preserve">     Adjust manhole</t>
  </si>
  <si>
    <t xml:space="preserve">     Tree Well and Covers</t>
  </si>
  <si>
    <t xml:space="preserve">     Construct Temporary Turnaround</t>
  </si>
  <si>
    <t xml:space="preserve">     Underground Utilities</t>
  </si>
  <si>
    <t>Cost Per L.F. of Local Street - Case D (Estimate over $50,000)</t>
  </si>
  <si>
    <t xml:space="preserve">     (1)  Curb, Gutter, Sidewalk, Pavement, Base</t>
  </si>
  <si>
    <t xml:space="preserve">           40' between curbs (sidewalk @ property line)</t>
  </si>
  <si>
    <t xml:space="preserve">           36' between curbs (sidewalk @ property line)</t>
  </si>
  <si>
    <t xml:space="preserve">           34' between curbs (sidewalk @ property line)</t>
  </si>
  <si>
    <t xml:space="preserve">           40' between curbs (sidewalk @ curb)</t>
  </si>
  <si>
    <t xml:space="preserve">           36' between curbs (sidewalk @ curb)</t>
  </si>
  <si>
    <t xml:space="preserve">           34' between curbs (sidewalk @ curb)</t>
  </si>
  <si>
    <t xml:space="preserve">     (2)  A.C. Inverted Shoulder Section With Base</t>
  </si>
  <si>
    <t xml:space="preserve">           36' between E.P. (14'/4')</t>
  </si>
  <si>
    <t xml:space="preserve">           36' between E.C. (14'/4' with 4' conc. flowline)</t>
  </si>
  <si>
    <t xml:space="preserve">           30' between E.P. (12'/3')</t>
  </si>
  <si>
    <t xml:space="preserve">           30' between E.C. (12'/3' with conc. flowline)</t>
  </si>
  <si>
    <t xml:space="preserve">           Cul-de-sac (offset)</t>
  </si>
  <si>
    <t xml:space="preserve">           Cul-de-sac (standard)</t>
  </si>
  <si>
    <t xml:space="preserve">           Knuckle (standard)</t>
  </si>
  <si>
    <t xml:space="preserve">           Intersection approach (new) with cross gutter</t>
  </si>
  <si>
    <t xml:space="preserve">           Intersection approach (new) without cross gutter</t>
  </si>
  <si>
    <t xml:space="preserve">           Intersection approach (at existing streets)</t>
  </si>
  <si>
    <t xml:space="preserve">                with cross gutter</t>
  </si>
  <si>
    <t xml:space="preserve">                without cross gutter</t>
  </si>
  <si>
    <t xml:space="preserve">     Remove Temporary Turnaround</t>
  </si>
  <si>
    <t>Each</t>
  </si>
  <si>
    <t>/L.F.</t>
  </si>
  <si>
    <t>Catch Basins</t>
  </si>
  <si>
    <t>/S.F.</t>
  </si>
  <si>
    <t>/C.Y.</t>
  </si>
  <si>
    <t>&lt;$50k Unit Price</t>
  </si>
  <si>
    <t>&gt;$50k Unit Price</t>
  </si>
  <si>
    <t xml:space="preserve">     Catch Basin No. 300, W=3.5'</t>
  </si>
  <si>
    <t xml:space="preserve">     Catch Basin No. 300, W=7'-10'</t>
  </si>
  <si>
    <t xml:space="preserve">     Catch Basin No. 300, W=14'</t>
  </si>
  <si>
    <t xml:space="preserve">     Catch Basin No. 300, W=17', 21'</t>
  </si>
  <si>
    <t xml:space="preserve">     Catch Basin No. 300, W=28'</t>
  </si>
  <si>
    <t xml:space="preserve">     Catch Basin No. 301, W=7' W/ 1 Grate</t>
  </si>
  <si>
    <t xml:space="preserve">     Catch Basin No. 301, W=10' W/ 1 Grate</t>
  </si>
  <si>
    <t xml:space="preserve">     Catch Basin No. 301, W=14' W/ 1 Grate</t>
  </si>
  <si>
    <t xml:space="preserve">     Catch Basin No. 301, W=21' W/ 3 Grates</t>
  </si>
  <si>
    <t xml:space="preserve">     Catch Basin No. 301, W=28' W/ 3 Grates</t>
  </si>
  <si>
    <t xml:space="preserve">     Trench Backfill Slurry (270-E-500)</t>
  </si>
  <si>
    <t xml:space="preserve">     Concrete Removal Non Reinforced</t>
  </si>
  <si>
    <t xml:space="preserve">     Concrete Removal Reinforced</t>
  </si>
  <si>
    <t xml:space="preserve">     Sawcut</t>
  </si>
  <si>
    <t xml:space="preserve">     Pavement (9")</t>
  </si>
  <si>
    <t xml:space="preserve">     Geotextile fabric</t>
  </si>
  <si>
    <t xml:space="preserve">     Crushed Agg. Base (under AC &amp; PCC pavement)</t>
  </si>
  <si>
    <t xml:space="preserve">     P.C.C. Curb and 2' Gutter</t>
  </si>
  <si>
    <t xml:space="preserve">     P.C.C. Curb and 1' Gutter</t>
  </si>
  <si>
    <t xml:space="preserve">     6 Mil Polyethylene Film Membrane (30' deep)</t>
  </si>
  <si>
    <t xml:space="preserve">     Street Lights    </t>
  </si>
  <si>
    <t xml:space="preserve">     Curb Ramp (APWA 111-2 Case A Type 3)</t>
  </si>
  <si>
    <t xml:space="preserve">     P.C.C. Curb Type C</t>
  </si>
  <si>
    <t xml:space="preserve">     A.C. (removal)</t>
  </si>
  <si>
    <t xml:space="preserve">     Crushed Agg. Base (under sidewalk, c&amp;g, driveway)</t>
  </si>
  <si>
    <t xml:space="preserve">     Crushed Agg. Base (removal)</t>
  </si>
  <si>
    <t xml:space="preserve">     A.C. (coldmill) </t>
  </si>
  <si>
    <t xml:space="preserve">     RBAC- Rubberized Asphalt Concrete</t>
  </si>
  <si>
    <t xml:space="preserve">     Unclassified Excavation</t>
  </si>
  <si>
    <t xml:space="preserve">     Clearing &amp; Grubbing</t>
  </si>
  <si>
    <t>Subtotal (A)</t>
  </si>
  <si>
    <t>TABLE 2: Plan Check Fee Calculation</t>
  </si>
  <si>
    <t>Inspection (Use Table1) (F)</t>
  </si>
  <si>
    <t>Inspection Fee (F)</t>
  </si>
  <si>
    <t>PLAN CHECKING FEE VALUATION</t>
  </si>
  <si>
    <t>Sewer Pipe</t>
  </si>
  <si>
    <t xml:space="preserve">     4" V.C.P. House Lateral Sewer</t>
  </si>
  <si>
    <t xml:space="preserve">     6" V.C.P. House Lateral Sewer</t>
  </si>
  <si>
    <t xml:space="preserve">     8" V.C.P. Main line Sewer</t>
  </si>
  <si>
    <t xml:space="preserve">     10" V.C.P. Main line Sewer</t>
  </si>
  <si>
    <t xml:space="preserve">     12" V.C.P. Main line Sewer</t>
  </si>
  <si>
    <t xml:space="preserve">     15" V.C.P. Main line Sewer</t>
  </si>
  <si>
    <t xml:space="preserve">     18" V.C.P. Main line Sewer</t>
  </si>
  <si>
    <t>Manhole</t>
  </si>
  <si>
    <t xml:space="preserve">     Manhole</t>
  </si>
  <si>
    <t xml:space="preserve">     Break into Existing Manhole</t>
  </si>
  <si>
    <t>Extra Depth Construction</t>
  </si>
  <si>
    <t xml:space="preserve">     Extra Depth Construction (10' - 12')</t>
  </si>
  <si>
    <t xml:space="preserve">     Extra Depth Construction (12' - 14')</t>
  </si>
  <si>
    <t xml:space="preserve">     Extra Depth Construction (14' - 16')</t>
  </si>
  <si>
    <t xml:space="preserve">     Extra Depth Construction (16' - 18')</t>
  </si>
  <si>
    <t xml:space="preserve">     Extra Depth Construction (18' - 20')</t>
  </si>
  <si>
    <t xml:space="preserve">     Concrete Encasement or Cradle</t>
  </si>
  <si>
    <t xml:space="preserve">     Special Encasement or Cradle</t>
  </si>
  <si>
    <t xml:space="preserve">     Excavation in Rock Areas</t>
  </si>
  <si>
    <t xml:space="preserve">     Unstable Bedding</t>
  </si>
  <si>
    <t xml:space="preserve">     Jacking Steel Casing</t>
  </si>
  <si>
    <t xml:space="preserve">     Breaking Pavement &amp; Resurfacing - A.C.</t>
  </si>
  <si>
    <t xml:space="preserve">     Breaking Pavement &amp; Resurfacing - Concrete</t>
  </si>
  <si>
    <t>/IN/L.F.</t>
  </si>
  <si>
    <t>Inflation (12% x (A+B) = C)</t>
  </si>
  <si>
    <t>B.   For each $1,000 or fractional part thereof, of the total valuation of the proposed work in excess of $50,000 and not exceeding $100,000, an additional</t>
  </si>
  <si>
    <t>C.  For each $1,000 or fractional part thereof, of the total valuation of the proposed work in excess of $100,000 an additional</t>
  </si>
  <si>
    <t>Water Pipe</t>
  </si>
  <si>
    <t>Air Vac. Release Valve</t>
  </si>
  <si>
    <t xml:space="preserve">     Less than or equal to 1"</t>
  </si>
  <si>
    <t xml:space="preserve">     Greater than 1"</t>
  </si>
  <si>
    <t>Unit Cost (1)</t>
  </si>
  <si>
    <t>Service End Meter Box</t>
  </si>
  <si>
    <t xml:space="preserve">     6" Lateral</t>
  </si>
  <si>
    <t xml:space="preserve">     8" Lateral</t>
  </si>
  <si>
    <t xml:space="preserve">    10" Lateral</t>
  </si>
  <si>
    <t xml:space="preserve">     6" Fire Hydrant</t>
  </si>
  <si>
    <t xml:space="preserve">     Blow-Off or Flushout</t>
  </si>
  <si>
    <t xml:space="preserve">     Master Meter (above ground)</t>
  </si>
  <si>
    <t xml:space="preserve">     Master Meter, 6" (below ground) (2)</t>
  </si>
  <si>
    <t xml:space="preserve">     Pump Station and Vault</t>
  </si>
  <si>
    <t>(3)</t>
  </si>
  <si>
    <t xml:space="preserve">     Pressure Regulator Station</t>
  </si>
  <si>
    <t xml:space="preserve">     Water Tank or Reservoir</t>
  </si>
  <si>
    <t xml:space="preserve">     36" Boring and Casing Under Highway</t>
  </si>
  <si>
    <t xml:space="preserve">     Existing St. (F.H.)</t>
  </si>
  <si>
    <t xml:space="preserve">     Steel Pipe</t>
  </si>
  <si>
    <t>(1) The unit prices shown are for subdivisions in which the street will be constructed as part of the complete work of the subdivision.  The unit prices for construction within existing streets will be higher.</t>
  </si>
  <si>
    <t>(2) For unit cost for other sizes, add $3,000 to cost shown per each 2 inch increment.</t>
  </si>
  <si>
    <t>(3) Variations in requirements will require a cost estimate based on the construction plans and itemized materials list.</t>
  </si>
  <si>
    <t>Reinforced Concrete Pipe</t>
  </si>
  <si>
    <t xml:space="preserve">     18"</t>
  </si>
  <si>
    <t xml:space="preserve">     24"</t>
  </si>
  <si>
    <t xml:space="preserve">     30"</t>
  </si>
  <si>
    <t xml:space="preserve">     36"</t>
  </si>
  <si>
    <t xml:space="preserve">     42"</t>
  </si>
  <si>
    <t xml:space="preserve">     48"</t>
  </si>
  <si>
    <t xml:space="preserve">     54"</t>
  </si>
  <si>
    <t xml:space="preserve">     60"</t>
  </si>
  <si>
    <t>Reinforced Concrete Box</t>
  </si>
  <si>
    <t xml:space="preserve">     301</t>
  </si>
  <si>
    <t xml:space="preserve">     320</t>
  </si>
  <si>
    <t xml:space="preserve">     321</t>
  </si>
  <si>
    <t xml:space="preserve">     322</t>
  </si>
  <si>
    <t>Junction Structures</t>
  </si>
  <si>
    <t xml:space="preserve">     331</t>
  </si>
  <si>
    <t xml:space="preserve">     332</t>
  </si>
  <si>
    <t xml:space="preserve">     333</t>
  </si>
  <si>
    <t xml:space="preserve">     334</t>
  </si>
  <si>
    <t>Transition Structures</t>
  </si>
  <si>
    <t xml:space="preserve">     340</t>
  </si>
  <si>
    <t xml:space="preserve">     341</t>
  </si>
  <si>
    <t xml:space="preserve">     342</t>
  </si>
  <si>
    <t xml:space="preserve">     Chainlink Fence</t>
  </si>
  <si>
    <t xml:space="preserve">     4' Walk Gate</t>
  </si>
  <si>
    <t xml:space="preserve">     16' Double Drive Gate</t>
  </si>
  <si>
    <t>Concrete Collars</t>
  </si>
  <si>
    <t xml:space="preserve">     Structural Concrete</t>
  </si>
  <si>
    <t xml:space="preserve">     Asphalt</t>
  </si>
  <si>
    <t xml:space="preserve">     Crushed Miscellaneous Base</t>
  </si>
  <si>
    <t xml:space="preserve">     Water Quality Devices</t>
  </si>
  <si>
    <t xml:space="preserve">                                $20,001 &amp; over</t>
  </si>
  <si>
    <t xml:space="preserve">                                $5,000 or less</t>
  </si>
  <si>
    <t xml:space="preserve">                                $600    or less</t>
  </si>
  <si>
    <t xml:space="preserve">                                $601    to $1,000</t>
  </si>
  <si>
    <t xml:space="preserve">                                $1,001 to $1,500</t>
  </si>
  <si>
    <t xml:space="preserve">                                $2,001 to $2,500</t>
  </si>
  <si>
    <t xml:space="preserve">                                $2,501 to $3,000</t>
  </si>
  <si>
    <t xml:space="preserve">                                $3,001 to $3,500</t>
  </si>
  <si>
    <t xml:space="preserve">                                $3,501 to $4,000</t>
  </si>
  <si>
    <t xml:space="preserve">                                $4,001 to $4,500</t>
  </si>
  <si>
    <t xml:space="preserve">                                $4,501 to $5,000</t>
  </si>
  <si>
    <t xml:space="preserve">                                $5,001 to $6,000</t>
  </si>
  <si>
    <t xml:space="preserve">                                $6,001 to $7,000</t>
  </si>
  <si>
    <t xml:space="preserve">                                $7,001 to $8,000</t>
  </si>
  <si>
    <t xml:space="preserve">                                $8,001 to $9,000</t>
  </si>
  <si>
    <t xml:space="preserve">                                $5,001 to $20,000</t>
  </si>
  <si>
    <t xml:space="preserve">                                $100,001 to $500,000</t>
  </si>
  <si>
    <t xml:space="preserve">                               150 ft or less</t>
  </si>
  <si>
    <t xml:space="preserve">                               151 ft to 500 ft</t>
  </si>
  <si>
    <t xml:space="preserve">                               501 ft to 1,000 ft</t>
  </si>
  <si>
    <t xml:space="preserve">                               1,001 ft to 2,000 ft</t>
  </si>
  <si>
    <t xml:space="preserve">                               2,001 ft to 3,000 ft</t>
  </si>
  <si>
    <t xml:space="preserve">                               3,001 ft to 4,000 ft</t>
  </si>
  <si>
    <t xml:space="preserve">                               4,001 ft to 5,000 ft</t>
  </si>
  <si>
    <t xml:space="preserve">                               5,001 ft &amp; over</t>
  </si>
  <si>
    <t xml:space="preserve">             Booster Pump Station, Reservoirs, etc.</t>
  </si>
  <si>
    <t>over</t>
  </si>
  <si>
    <t xml:space="preserve">                                $10,000 or less</t>
  </si>
  <si>
    <t xml:space="preserve">                                $10,001 to $50,000</t>
  </si>
  <si>
    <t xml:space="preserve">                                $50,001 to $100,000</t>
  </si>
  <si>
    <t xml:space="preserve">                                $500,001 to $1,000,000</t>
  </si>
  <si>
    <t>1. After the fifth submittal - 10% of the original fee for each submittal</t>
  </si>
  <si>
    <t>3. Major revision - Fee is based on construction cost in accordance with table above</t>
  </si>
  <si>
    <t xml:space="preserve">                               $100,001 to $500,000</t>
  </si>
  <si>
    <t xml:space="preserve">                               $500,001 &amp; over</t>
  </si>
  <si>
    <t>Improvement Total (A+B+C=D)</t>
  </si>
  <si>
    <t>ft</t>
  </si>
  <si>
    <t>Los Angeles County Department Of Public Works</t>
  </si>
  <si>
    <t>Land Development Division</t>
  </si>
  <si>
    <t>Bond Calculation Sheets</t>
  </si>
  <si>
    <t xml:space="preserve">     CMU/Concrete Wall (6')</t>
  </si>
  <si>
    <t>Contingency (15% x A) = B)</t>
  </si>
  <si>
    <t xml:space="preserve">      Parkway Drain No. 1</t>
  </si>
  <si>
    <t xml:space="preserve">      Curb Drain</t>
  </si>
  <si>
    <t>Drainage Facilities</t>
  </si>
  <si>
    <t xml:space="preserve">            Curb Drain, 1 Pipe</t>
  </si>
  <si>
    <t xml:space="preserve">            Curb Drain, 2 Pipes</t>
  </si>
  <si>
    <t xml:space="preserve">            Curb Drain, 3 Pipes</t>
  </si>
  <si>
    <t xml:space="preserve">     Inlet/Outlet Structures</t>
  </si>
  <si>
    <t xml:space="preserve">     Energy Dissipator</t>
  </si>
  <si>
    <t xml:space="preserve">     Grouted Riprap</t>
  </si>
  <si>
    <t xml:space="preserve">     2" Standard</t>
  </si>
  <si>
    <t xml:space="preserve">Detector Check Meter with </t>
  </si>
  <si>
    <t>Vault Backflow Detector Assembly Above Ground</t>
  </si>
  <si>
    <t>LOT TREE BOND</t>
  </si>
  <si>
    <t>Lot Trees</t>
  </si>
  <si>
    <t xml:space="preserve">     Catch Basin No. 301, W=14' W/ 2 Grate</t>
  </si>
  <si>
    <t xml:space="preserve">     Catch Basin No. 301, W=21' W/ 2 Grate</t>
  </si>
  <si>
    <t xml:space="preserve">     Catch Basin No. 301, W=28' W/ 2 Grate</t>
  </si>
  <si>
    <t>/Ton</t>
  </si>
  <si>
    <t xml:space="preserve">                                $1,000,001 &amp; over</t>
  </si>
  <si>
    <t xml:space="preserve">A.   For each $1,000 or fractional part thereof, of the total valuation of the proposed work in excess of $10,000 and not exceeding $50,000, an additional   </t>
  </si>
  <si>
    <t>TABLE 1: Inspection Fee Calculation*</t>
  </si>
  <si>
    <t>+</t>
  </si>
  <si>
    <t>*Inspection fees are an estimated amount and subject to change.  Please verify with</t>
  </si>
  <si>
    <t xml:space="preserve">+  </t>
  </si>
  <si>
    <t xml:space="preserve">+ </t>
  </si>
  <si>
    <t>TABLE 1: Plan Check Fee Calculation</t>
  </si>
  <si>
    <t>Plan Check Fee (O)</t>
  </si>
  <si>
    <t>Roundup to nearest hundred</t>
  </si>
  <si>
    <t xml:space="preserve">     Backflow Preventer Valve</t>
  </si>
  <si>
    <t xml:space="preserve">$100,001 &amp; over </t>
  </si>
  <si>
    <t>Number of Hydrants</t>
  </si>
  <si>
    <t>1 to 10</t>
  </si>
  <si>
    <t>11 and over</t>
  </si>
  <si>
    <t>/each  over</t>
  </si>
  <si>
    <t>Plan Check Fee (P)</t>
  </si>
  <si>
    <t>Enter Number of Hydrants</t>
  </si>
  <si>
    <t>TABLE 3: Plan Check Fee Calculation</t>
  </si>
  <si>
    <t>TABLE 4: Plan Check Fee Calculation</t>
  </si>
  <si>
    <t>Plan Check Fee (Q)</t>
  </si>
  <si>
    <t>Certificate of Registration or Water Utility Authorization (Yes or No)</t>
  </si>
  <si>
    <t>Certificate of Registration or Water Utility Authorization</t>
  </si>
  <si>
    <t>TABLE 5: Plan Check Fee Calculation</t>
  </si>
  <si>
    <t>Plan Check Fee (R)</t>
  </si>
  <si>
    <t>Booster Pump Station, Reservoirs, etc. (Yes or No)</t>
  </si>
  <si>
    <t>Water Appeals Board Filing Fee Public Works</t>
  </si>
  <si>
    <t>Water Appeals Board Filing Fee Public Works (Yes or No)</t>
  </si>
  <si>
    <t>Water Appeals Board Filing Fee Fire Department</t>
  </si>
  <si>
    <t>Water Appeals Board Filing Fee Fire Department (Yes or No)</t>
  </si>
  <si>
    <t>Contingency (15% x (A+B) = C)</t>
  </si>
  <si>
    <t>Inflation (12% x (A+B+C) = D)</t>
  </si>
  <si>
    <t>Improvement Total (A+B+C+D = E)</t>
  </si>
  <si>
    <t>Storm Drain Bond Amount (E+F = G)</t>
  </si>
  <si>
    <t>Total Plan Check Fee (See Table 2, based on valuation) (I)</t>
  </si>
  <si>
    <t>Improvement Total (A+B+C+D =E)</t>
  </si>
  <si>
    <t>Sewer Bond Amount (E+F = G)</t>
  </si>
  <si>
    <t xml:space="preserve">                                $1,501 to $2,000</t>
  </si>
  <si>
    <t xml:space="preserve"> Regional Planning Bond Amount (D)</t>
  </si>
  <si>
    <t>Subtotal (E)</t>
  </si>
  <si>
    <t>Contingency (15% x E = F)</t>
  </si>
  <si>
    <t>Inflation (12% x (E+F) = G)</t>
  </si>
  <si>
    <t>Improvement Total (E+F+G = H)</t>
  </si>
  <si>
    <t xml:space="preserve"> Regional Planning Lot Tree Bond Amount (H)</t>
  </si>
  <si>
    <t>Contingency (15% x (A+B)  = C)</t>
  </si>
  <si>
    <t>Water Bond Amount (E)</t>
  </si>
  <si>
    <t xml:space="preserve">     4" D.I. Pipe   (F)</t>
  </si>
  <si>
    <t xml:space="preserve">     6" D.I. Pipe   (G)</t>
  </si>
  <si>
    <t xml:space="preserve">     8" D.I. Pipe   (H)</t>
  </si>
  <si>
    <t xml:space="preserve">     10" D.I. Pipe (I)</t>
  </si>
  <si>
    <t xml:space="preserve">     12" D.I. Pipe (J)</t>
  </si>
  <si>
    <t xml:space="preserve">     14" D.I. Pipe (K)</t>
  </si>
  <si>
    <t xml:space="preserve">     16" D.I. Pipe (L)</t>
  </si>
  <si>
    <t xml:space="preserve">     18" D.I. Pipe (M)</t>
  </si>
  <si>
    <t>Total Water Pipe Length (F+G+H+I+J+K+L+M = N)</t>
  </si>
  <si>
    <t>Plan Check Fee (See Table 1) (O)</t>
  </si>
  <si>
    <t>(See Table 2) (P)</t>
  </si>
  <si>
    <t>(See Table 3) (Q)</t>
  </si>
  <si>
    <t>(See Table 4) (R)</t>
  </si>
  <si>
    <t xml:space="preserve">Total Plan Check Fee (T) </t>
  </si>
  <si>
    <t>Valuation Length (N)</t>
  </si>
  <si>
    <t>x (A+B+C)</t>
  </si>
  <si>
    <t xml:space="preserve">     A.C. (2") -Performance Grade</t>
  </si>
  <si>
    <t xml:space="preserve">     A.C. (3") -Performance Grade</t>
  </si>
  <si>
    <t xml:space="preserve">     A.C. (4") -Performance Grade</t>
  </si>
  <si>
    <t xml:space="preserve">     A.C. (6") -Performance Grade</t>
  </si>
  <si>
    <t xml:space="preserve">     Driveway (6" -commercial)</t>
  </si>
  <si>
    <t xml:space="preserve">     Curb Ramp (with detectable warning surface)</t>
  </si>
  <si>
    <t xml:space="preserve">     P.C.C. Inverted Shoulder (7-1/2" CF)</t>
  </si>
  <si>
    <t xml:space="preserve">     P.C.C. Curb and 2' Gutter (Type A2-6)</t>
  </si>
  <si>
    <t xml:space="preserve">     P.C.C. Curb and 2' Gutter (Type A2-8)</t>
  </si>
  <si>
    <t xml:space="preserve">     P.C.C. Curb and 2' Gutter (Type B1-6)</t>
  </si>
  <si>
    <t xml:space="preserve">     P.C.C. Curb and 2' Gutter (Type B2,(3)-6)</t>
  </si>
  <si>
    <t xml:space="preserve">     6 Mil Polyethylene Film Membrane (30" deep)</t>
  </si>
  <si>
    <t xml:space="preserve">     Tree Removal (Ave. 12" D)</t>
  </si>
  <si>
    <t>Traffic Control Plan? (Yes or No)</t>
  </si>
  <si>
    <t>Traffic Control Plan (5% x A = B)</t>
  </si>
  <si>
    <t>Valuation for Plan Check Fee  (E - D - B = H)</t>
  </si>
  <si>
    <t xml:space="preserve">     Gate Valves</t>
  </si>
  <si>
    <t xml:space="preserve">for each 1,000 ft in excess </t>
  </si>
  <si>
    <t>over 5,000 ft</t>
  </si>
  <si>
    <t xml:space="preserve">     Ductile Iron Pipe (Price per linear foot):</t>
  </si>
  <si>
    <t>Valuation Total (H)</t>
  </si>
  <si>
    <t>Plan Check Fee (I)</t>
  </si>
  <si>
    <t>(See Table 5) Public Works (S1)</t>
  </si>
  <si>
    <t>(See Table 5) Fire Department (S2)</t>
  </si>
  <si>
    <t>Plan Check Fee (S1)</t>
  </si>
  <si>
    <t>Plan Check Fee (S2)</t>
  </si>
  <si>
    <t>$1,625 or less</t>
  </si>
  <si>
    <t>$1,626 to $20,000</t>
  </si>
  <si>
    <t>$20,001 to $100,000</t>
  </si>
  <si>
    <t>$100,001 to $500,000</t>
  </si>
  <si>
    <t xml:space="preserve">$500,001 &amp; over </t>
  </si>
  <si>
    <t>$10,000 or less</t>
  </si>
  <si>
    <t>$10,001 to $100,000</t>
  </si>
  <si>
    <t xml:space="preserve">     Cleanout (6")</t>
  </si>
  <si>
    <t xml:space="preserve">                               $0 to $100,000</t>
  </si>
  <si>
    <t xml:space="preserve">Land Development Division's Permit Section upon request of the permit issuance. </t>
  </si>
  <si>
    <t xml:space="preserve">                                $9,001 to $10,000</t>
  </si>
  <si>
    <t xml:space="preserve">     Install Detail 1 (2-Coat Paint)</t>
  </si>
  <si>
    <t>Striping (2-Coat Paint)</t>
  </si>
  <si>
    <t xml:space="preserve">     Install Detail 2 (2-Coat Paint)</t>
  </si>
  <si>
    <t xml:space="preserve">     Install Detail 8 (2-Coat Paint)</t>
  </si>
  <si>
    <t xml:space="preserve">     Install Detail 9 (2-Coat Paint)</t>
  </si>
  <si>
    <t xml:space="preserve">     Install Detail 15 (2-Coat Paint)</t>
  </si>
  <si>
    <t xml:space="preserve">     Install Detail 16 (2-Coat Paint)</t>
  </si>
  <si>
    <t xml:space="preserve">     Install Detail 21 (2-Coat Paint)</t>
  </si>
  <si>
    <t xml:space="preserve">     Install Detail 22 (2-Coat Paint)</t>
  </si>
  <si>
    <t xml:space="preserve">     Install Detail 24 (2-Coat Paint)</t>
  </si>
  <si>
    <t xml:space="preserve">     Install Detail 25 (2-Coat Paint)</t>
  </si>
  <si>
    <t xml:space="preserve">     Install Detail 27B (2-Coat Paint)</t>
  </si>
  <si>
    <t xml:space="preserve">     Install Detail 28 (2-Coat Paint)</t>
  </si>
  <si>
    <t xml:space="preserve">     Install Detail 29 (2-Coat Paint)</t>
  </si>
  <si>
    <t xml:space="preserve">     Install Detail 31 (2-Coat Paint)</t>
  </si>
  <si>
    <t xml:space="preserve">     Install Detail 32 (2-Coat Paint)</t>
  </si>
  <si>
    <t xml:space="preserve">     Install Detail 37B (2-Coat Paint)</t>
  </si>
  <si>
    <t xml:space="preserve">     Install Detail 38 (2-Coat Paint)</t>
  </si>
  <si>
    <t xml:space="preserve">     Install Detail 38A (2-Coat Paint)</t>
  </si>
  <si>
    <t xml:space="preserve">     Install Detail 40 (2-Coat Paint)</t>
  </si>
  <si>
    <t xml:space="preserve">     Install Detail 41 (2-Coat Paint)</t>
  </si>
  <si>
    <t xml:space="preserve">     Install 12 inch Limit Line (2-Coat Paint)</t>
  </si>
  <si>
    <t xml:space="preserve">     Install Curb Marking (2-Coat Paint)</t>
  </si>
  <si>
    <t xml:space="preserve">     Remove Detail 1 (2-Coat Paint)</t>
  </si>
  <si>
    <t xml:space="preserve">     Remove Detail 2 (2-Coat Paint)</t>
  </si>
  <si>
    <t xml:space="preserve">     Remove Detail 8 (2-Coat Paint)</t>
  </si>
  <si>
    <t xml:space="preserve">     Remove Detail 9 (2-Coat Paint)</t>
  </si>
  <si>
    <t xml:space="preserve">     Remove Detail 15 (2-Coat Paint)</t>
  </si>
  <si>
    <t xml:space="preserve">     Remove Detail 16 (2-Coat Paint)</t>
  </si>
  <si>
    <t xml:space="preserve">     Remove Detail 21 (2-Coat Paint)</t>
  </si>
  <si>
    <t xml:space="preserve">     Remove Detail 22 (2-Coat Paint)</t>
  </si>
  <si>
    <t xml:space="preserve">     Remove Detail 24 (2-Coat Paint)</t>
  </si>
  <si>
    <t xml:space="preserve">     Remove Detail 25 (2-Coat Paint)</t>
  </si>
  <si>
    <t xml:space="preserve">     Remove Detail 27B (2-Coat Paint)</t>
  </si>
  <si>
    <t xml:space="preserve">     Remove Detail 28 (2-Coat Paint)</t>
  </si>
  <si>
    <t xml:space="preserve">     Remove Detail 29 (2-Coat Paint)</t>
  </si>
  <si>
    <t xml:space="preserve">     Remove Detail 31 (2-Coat Paint)</t>
  </si>
  <si>
    <t xml:space="preserve">     Remove Detail 32 (2-Coat Paint)</t>
  </si>
  <si>
    <t xml:space="preserve">     Remove Detail 37B (2-Coat Paint)</t>
  </si>
  <si>
    <t xml:space="preserve">     Remove Detail 38 (2-Coat Paint)</t>
  </si>
  <si>
    <t xml:space="preserve">     Remove Detail 38A (2-Coat Paint)</t>
  </si>
  <si>
    <t xml:space="preserve">     Remove Detail 40 (2-Coat Paint)</t>
  </si>
  <si>
    <t xml:space="preserve">     Remove Detail 41 (2-Coat Paint)</t>
  </si>
  <si>
    <t xml:space="preserve">     Remove 12 inch Limit Line (2-Coat Paint)</t>
  </si>
  <si>
    <t xml:space="preserve">     Remove Curb Marking (2-Coat Paint)</t>
  </si>
  <si>
    <t xml:space="preserve">     Remove Sign</t>
  </si>
  <si>
    <t xml:space="preserve">     Relocate Sign</t>
  </si>
  <si>
    <t xml:space="preserve">Signing </t>
  </si>
  <si>
    <t>LF</t>
  </si>
  <si>
    <t xml:space="preserve">     Install Pavement Marking (2-Coat Paint) ($3.00/SF)</t>
  </si>
  <si>
    <r>
      <t xml:space="preserve">         "STOP" = 22 SF    </t>
    </r>
    <r>
      <rPr>
        <b/>
        <sz val="10"/>
        <rFont val="Arial"/>
        <family val="2"/>
      </rPr>
      <t>Enter "Each" Quantity---------&gt;</t>
    </r>
  </si>
  <si>
    <r>
      <t xml:space="preserve">         "SIGNAL" = 32 SF  </t>
    </r>
    <r>
      <rPr>
        <b/>
        <sz val="10"/>
        <rFont val="Arial"/>
        <family val="2"/>
      </rPr>
      <t>Enter "Each" Quantity--------&gt;</t>
    </r>
  </si>
  <si>
    <r>
      <t xml:space="preserve">         "SCHOOL" = 35 SF  </t>
    </r>
    <r>
      <rPr>
        <b/>
        <sz val="10"/>
        <rFont val="Arial"/>
        <family val="2"/>
      </rPr>
      <t>Enter "Each" Quantity-------&gt;</t>
    </r>
  </si>
  <si>
    <r>
      <t xml:space="preserve">         "AHEAD" = 31 SF  </t>
    </r>
    <r>
      <rPr>
        <b/>
        <sz val="10"/>
        <rFont val="Arial"/>
        <family val="2"/>
      </rPr>
      <t>Enter "Each" Quantity---------&gt;</t>
    </r>
  </si>
  <si>
    <r>
      <t xml:space="preserve">         "YIELD" = 24 SF </t>
    </r>
    <r>
      <rPr>
        <b/>
        <sz val="10"/>
        <rFont val="Arial"/>
        <family val="2"/>
      </rPr>
      <t xml:space="preserve"> Enter "Each" Quantity-----------&gt;</t>
    </r>
  </si>
  <si>
    <r>
      <t xml:space="preserve">        "Type IV Arrow" = 15 SF  </t>
    </r>
    <r>
      <rPr>
        <b/>
        <sz val="10"/>
        <rFont val="Arial"/>
        <family val="2"/>
      </rPr>
      <t>Enter "Each" Quantity-&gt;</t>
    </r>
  </si>
  <si>
    <t xml:space="preserve">     Remove Pavement Marking (2-Coat Paint) ($4.00/SF)</t>
  </si>
  <si>
    <t xml:space="preserve">     Furnish/Install Sign Panel on One Post</t>
  </si>
  <si>
    <t xml:space="preserve">     Furnish/Install Sign Panel on Two Posts</t>
  </si>
  <si>
    <t xml:space="preserve">     Furnish/Install Sign Panel</t>
  </si>
  <si>
    <t>SIGNING AND STRIPING</t>
  </si>
  <si>
    <t>STREET LIGHTING</t>
  </si>
  <si>
    <t>UNDERGROUND UTILITIES</t>
  </si>
  <si>
    <t>STREET LIGHTING SUBTOTAL (B)</t>
  </si>
  <si>
    <t>UNDERGROUND UTILITY SUBTOTAL (C)</t>
  </si>
  <si>
    <t>SIGNING AND STRIPING SUBTOTAL (D)</t>
  </si>
  <si>
    <t>Traffic Control Plan (5% x E = F)</t>
  </si>
  <si>
    <t>Contingency (15% x (E+F) = G)</t>
  </si>
  <si>
    <t>GRAND SUBTOTAL (A+B+C+D)=E)</t>
  </si>
  <si>
    <t>Inflation (12% x (E+F+G) = H)</t>
  </si>
  <si>
    <t>Improvement Total (E+F+G+H = I)</t>
  </si>
  <si>
    <t>GRAND SUBTOTAL (E) COST &lt; $50,000 (Yes or No)</t>
  </si>
  <si>
    <t>TRAFFIC CONTROL PLAN? (Yes or No)</t>
  </si>
  <si>
    <t>STREET IMPROVEMENT SUBTOTAL (A)</t>
  </si>
  <si>
    <t>STREET IMPROVEMENT BOND AMOUNT CALCULATION</t>
  </si>
  <si>
    <t>STREET TREE BOND AMOUNT CALCULATION</t>
  </si>
  <si>
    <t xml:space="preserve">     Street Trees</t>
  </si>
  <si>
    <t>Street Bond Amount (I+J = K)</t>
  </si>
  <si>
    <t>Street Tree Subtotal (L)</t>
  </si>
  <si>
    <t>Contingency (15% x L = M)</t>
  </si>
  <si>
    <t>Inflation (12% x (L+M) = N)</t>
  </si>
  <si>
    <t>Improvement Total (L+M+N = O)</t>
  </si>
  <si>
    <t>Street Tree Bond Amount (O+P = Q)</t>
  </si>
  <si>
    <r>
      <t xml:space="preserve">Single lot grading encroachments that are submitted as part of referrals from Building and Safety Division will require a </t>
    </r>
    <r>
      <rPr>
        <b/>
        <u/>
        <sz val="10"/>
        <rFont val="Arial"/>
        <family val="2"/>
      </rPr>
      <t xml:space="preserve">Deposit in the amount of $600. </t>
    </r>
  </si>
  <si>
    <t>Inspection (Use Table 2) (J)</t>
  </si>
  <si>
    <t>Inspection (Use Table 2) (P)</t>
  </si>
  <si>
    <t>TABLE 2: Inspection Fee Calculation*</t>
  </si>
  <si>
    <t xml:space="preserve">Land Development Division's Permit Section upon request for permit issuance. </t>
  </si>
  <si>
    <t>Improvement Total (I, O)</t>
  </si>
  <si>
    <t>Inspection Fee (J, P)</t>
  </si>
  <si>
    <t>STREET IMPROVEMENTS</t>
  </si>
  <si>
    <t xml:space="preserve">     Cast Iron Pipe</t>
  </si>
  <si>
    <t>/in/ft</t>
  </si>
  <si>
    <t>Join Existing VCP</t>
  </si>
  <si>
    <t>Consumer Price Index</t>
  </si>
  <si>
    <r>
      <t xml:space="preserve">     (</t>
    </r>
    <r>
      <rPr>
        <b/>
        <sz val="8.5"/>
        <rFont val="Arial"/>
        <family val="2"/>
      </rPr>
      <t>4"</t>
    </r>
    <r>
      <rPr>
        <sz val="8.5"/>
        <rFont val="Arial"/>
        <family val="2"/>
      </rPr>
      <t xml:space="preserve">: $43.56, </t>
    </r>
    <r>
      <rPr>
        <b/>
        <sz val="8.5"/>
        <rFont val="Arial"/>
        <family val="2"/>
      </rPr>
      <t>6"</t>
    </r>
    <r>
      <rPr>
        <sz val="8.5"/>
        <rFont val="Arial"/>
        <family val="2"/>
      </rPr>
      <t xml:space="preserve">: $ 53.69, </t>
    </r>
    <r>
      <rPr>
        <b/>
        <sz val="8.5"/>
        <rFont val="Arial"/>
        <family val="2"/>
      </rPr>
      <t>8"</t>
    </r>
    <r>
      <rPr>
        <sz val="8.5"/>
        <rFont val="Arial"/>
        <family val="2"/>
      </rPr>
      <t xml:space="preserve">: $70.91, </t>
    </r>
    <r>
      <rPr>
        <b/>
        <sz val="8.5"/>
        <rFont val="Arial"/>
        <family val="2"/>
      </rPr>
      <t>10"</t>
    </r>
    <r>
      <rPr>
        <sz val="8.5"/>
        <rFont val="Arial"/>
        <family val="2"/>
      </rPr>
      <t xml:space="preserve">: $74.96, </t>
    </r>
    <r>
      <rPr>
        <b/>
        <sz val="8.5"/>
        <rFont val="Arial"/>
        <family val="2"/>
      </rPr>
      <t>12"</t>
    </r>
    <r>
      <rPr>
        <sz val="8.5"/>
        <rFont val="Arial"/>
        <family val="2"/>
      </rPr>
      <t>: $86.11)</t>
    </r>
  </si>
  <si>
    <r>
      <t xml:space="preserve">     (</t>
    </r>
    <r>
      <rPr>
        <b/>
        <sz val="8.5"/>
        <rFont val="Arial"/>
        <family val="2"/>
      </rPr>
      <t>14"</t>
    </r>
    <r>
      <rPr>
        <sz val="8.5"/>
        <rFont val="Arial"/>
        <family val="2"/>
      </rPr>
      <t xml:space="preserve">: $92.18, </t>
    </r>
    <r>
      <rPr>
        <b/>
        <sz val="8.5"/>
        <rFont val="Arial"/>
        <family val="2"/>
      </rPr>
      <t>16"</t>
    </r>
    <r>
      <rPr>
        <sz val="8.5"/>
        <rFont val="Arial"/>
        <family val="2"/>
      </rPr>
      <t xml:space="preserve">: $97.25, </t>
    </r>
    <r>
      <rPr>
        <b/>
        <sz val="8.5"/>
        <rFont val="Arial"/>
        <family val="2"/>
      </rPr>
      <t>18"</t>
    </r>
    <r>
      <rPr>
        <sz val="8.5"/>
        <rFont val="Arial"/>
        <family val="2"/>
      </rPr>
      <t xml:space="preserve"> </t>
    </r>
    <r>
      <rPr>
        <b/>
        <sz val="8.5"/>
        <rFont val="Arial"/>
        <family val="2"/>
      </rPr>
      <t>&amp; Above</t>
    </r>
    <r>
      <rPr>
        <sz val="8.5"/>
        <rFont val="Arial"/>
        <family val="2"/>
      </rPr>
      <t>: $108.39)</t>
    </r>
  </si>
  <si>
    <t xml:space="preserve"> </t>
  </si>
  <si>
    <t>PROJECT DESCRIPTION</t>
  </si>
  <si>
    <t>EARTHWORK YARDAGE</t>
  </si>
  <si>
    <t xml:space="preserve"> ADDRESS</t>
  </si>
  <si>
    <t>CUT*…………………………</t>
  </si>
  <si>
    <t>C.Y.</t>
  </si>
  <si>
    <t xml:space="preserve"> GR #</t>
  </si>
  <si>
    <t>FILL*…………………………</t>
  </si>
  <si>
    <t xml:space="preserve"> TR/PM #</t>
  </si>
  <si>
    <t>OVEREXCAVATION………</t>
  </si>
  <si>
    <t xml:space="preserve"> D.O. #</t>
  </si>
  <si>
    <t>ALLUVIAL REMOVALS……</t>
  </si>
  <si>
    <t xml:space="preserve"> CHECKER</t>
  </si>
  <si>
    <t>TOTAL VOLUME………………</t>
  </si>
  <si>
    <t>* Larger of the two.</t>
  </si>
  <si>
    <t xml:space="preserve"> PLAN CHECK FEE</t>
  </si>
  <si>
    <t>Initial Plancheck Fee</t>
  </si>
  <si>
    <t>based on</t>
  </si>
  <si>
    <t>Submittal No</t>
  </si>
  <si>
    <t>Final Plancheck Fee</t>
  </si>
  <si>
    <t>/Hour</t>
  </si>
  <si>
    <t>Hr</t>
  </si>
  <si>
    <t xml:space="preserve"> Plan Check Fee Paid</t>
  </si>
  <si>
    <t>========================================</t>
  </si>
  <si>
    <t xml:space="preserve"> Subtract Fee Paid from Checking or Revision Fee</t>
  </si>
  <si>
    <t xml:space="preserve">PLAN CHECK FEE DUE   </t>
  </si>
  <si>
    <t>Pusuant to section 21.44.065 (4) of Title 21 of the County Code.</t>
  </si>
  <si>
    <t>BOND AMOUNT CALCULATION</t>
  </si>
  <si>
    <t xml:space="preserve"> EARTHWORK VOLUME:                        </t>
  </si>
  <si>
    <t>Yardage</t>
  </si>
  <si>
    <t>Bond Amounts</t>
  </si>
  <si>
    <t xml:space="preserve"> Zero to 1000 C.Y……………                  </t>
  </si>
  <si>
    <t xml:space="preserve"> 1001 to 100,000 C.Y…………</t>
  </si>
  <si>
    <t xml:space="preserve">  C.Y. X   </t>
  </si>
  <si>
    <t>=</t>
  </si>
  <si>
    <t xml:space="preserve"> Greater than 100,000 C.Y.</t>
  </si>
  <si>
    <t xml:space="preserve">EARTHWORK TOTAL  = </t>
  </si>
  <si>
    <t xml:space="preserve"> DRAINAGE DEVICES: (See Cost Estimate) ………………..</t>
  </si>
  <si>
    <t xml:space="preserve">……………………………………………..= </t>
  </si>
  <si>
    <t xml:space="preserve"> TOTAL BOND AMOUNT = EARTHWORK TOTAL + DRAINAGE DEVICES</t>
  </si>
  <si>
    <t>BOND AMOUNT  =</t>
  </si>
  <si>
    <t>USE</t>
  </si>
  <si>
    <t>Volume (CY)</t>
  </si>
  <si>
    <t>Base Fee plus % of Volume</t>
  </si>
  <si>
    <t>10,000  or less</t>
  </si>
  <si>
    <t>10,001 to 100,000</t>
  </si>
  <si>
    <t>CY</t>
  </si>
  <si>
    <t>100,001 to 500,000</t>
  </si>
  <si>
    <t>500,001 to 1,000,000</t>
  </si>
  <si>
    <t>1,000,000 &amp; over</t>
  </si>
  <si>
    <t>Plan Check Fee Calculation (a)</t>
  </si>
  <si>
    <t>10% of the original fee for each submital after the 5th (b)</t>
  </si>
  <si>
    <t>(a) The fee for the first five plan reviews is based on the estimated yardage:</t>
  </si>
  <si>
    <t>(b) After the fifth submittal - 10% of the original fee for each submittal.</t>
  </si>
  <si>
    <t xml:space="preserve">Revision Fee (c) </t>
  </si>
  <si>
    <t>Lump Sum (fill in dollar amount)</t>
  </si>
  <si>
    <t>Valuation for Plan Check Fee (A+15%Contingency) (S)</t>
  </si>
  <si>
    <t>Valuation Total (S)</t>
  </si>
  <si>
    <t>Plan Check Fee (T)</t>
  </si>
  <si>
    <t>Total Plan Check Fee that covers up to 4 submittals* (See Table 1, based on valuation plus (R)) (T)</t>
  </si>
  <si>
    <t xml:space="preserve">Is Signing &amp; Striping required?  If yes, fill in the plan check deposit amount to the right. (R) </t>
  </si>
  <si>
    <t>Base value (FY 13-14)</t>
  </si>
  <si>
    <t>General CPI</t>
  </si>
  <si>
    <t>Water CPI</t>
  </si>
  <si>
    <t>FY</t>
  </si>
  <si>
    <t>CPI Factor (1+CPI/100)</t>
  </si>
  <si>
    <t>2014-2015</t>
  </si>
  <si>
    <t>2015-2016</t>
  </si>
  <si>
    <t>2016-2017</t>
  </si>
  <si>
    <t>2017-2018</t>
  </si>
  <si>
    <t>2018-2019</t>
  </si>
  <si>
    <t>2019-2020</t>
  </si>
  <si>
    <t>2020-2021</t>
  </si>
  <si>
    <t>2021-2022</t>
  </si>
  <si>
    <t>2022-2023</t>
  </si>
  <si>
    <t>2023-2024</t>
  </si>
  <si>
    <t>2024-2025</t>
  </si>
  <si>
    <t>2025-2026</t>
  </si>
  <si>
    <t>2026-2027</t>
  </si>
  <si>
    <t>2027-2028</t>
  </si>
  <si>
    <t>2028-2029</t>
  </si>
  <si>
    <t>2029-2030</t>
  </si>
  <si>
    <t>2030-2031</t>
  </si>
  <si>
    <t>2031-2032</t>
  </si>
  <si>
    <t>2032-2033</t>
  </si>
  <si>
    <t>2033-2034</t>
  </si>
  <si>
    <t>2034-2035</t>
  </si>
  <si>
    <t>2035-2036</t>
  </si>
  <si>
    <t>2036-2037</t>
  </si>
  <si>
    <t>2037-2038</t>
  </si>
  <si>
    <t>2038-2039</t>
  </si>
  <si>
    <t>2039-2040</t>
  </si>
  <si>
    <t>2040-2041</t>
  </si>
  <si>
    <t>2041-2042</t>
  </si>
  <si>
    <t>2042-2043</t>
  </si>
  <si>
    <t>2043-2044</t>
  </si>
  <si>
    <t>P:\ldpub\Permits\Admin\Permit Fee Adjustments</t>
  </si>
  <si>
    <t>Catch Basins (values used to calculate plan checking fee only)</t>
  </si>
  <si>
    <t>Improvement Total (H)</t>
  </si>
  <si>
    <t xml:space="preserve">General Instructions on updating the spreadsheet:                
1. Update the effective date on the title sheet.                
2. For individual line items that need to be updated by the CPI, just enter the CPI in the appropriate line in the table below. Do not modify previous years' CPI.              
3. Update plan checking fee valuation schedule per LDD admin.                
4. Obtain inspection fee schedule from LDD Permits section or at the following location on the p-drive:  P:\ldpub\Permits\Admin\Permit Fee Adjustments\FY 13-14\PDF Files (the fiscal year will be updated each year, accordingly).  See Hyperlink below.                
5. Update the notes, as there may be updates to the costs for review of revised plans.                
6. The Sewer inspection fee is structured quite differently.  Update the reference cells based on the upper and lower limits contained in the chart, and then pay close attention to the fractional portions of $1000 (that is, the equation multiplies the extents of the first tier by the corresponding additional amount, the same for the second tier, and then the third tier.)                
7. We do not check the inspection fee for the Water bond (that is, only the Improvement Total is counted towards the bond amount).                
8. Note that the Inspection Fees are based on the sum of the Subtotal and Contingency amounts - that is, they do not include the Traffic Control Plan and / or Inflation.                
9. Update the footers for each tab with the upcoming effective date for the fees.                
10. Lock all of the equations and "Total Cost" cells.  First, highlight all of the cells you want to keep unlocked, right click, go to Format Cells, Protection tab, and un-click the "Locked" option.  Then Go to the Review tab at the top.  Click on Protect Sheet.  Type in a password (keep a record of it), then retype it in and press ok.                 
</t>
  </si>
  <si>
    <t xml:space="preserve">     72"</t>
  </si>
  <si>
    <t xml:space="preserve">     84"</t>
  </si>
  <si>
    <t xml:space="preserve">     96"</t>
  </si>
  <si>
    <t xml:space="preserve">     102"</t>
  </si>
  <si>
    <t xml:space="preserve">     114"</t>
  </si>
  <si>
    <t>Rubber Gasketed Reinforced Concrete Pipe</t>
  </si>
  <si>
    <t xml:space="preserve">     300, W=3.5'</t>
  </si>
  <si>
    <t xml:space="preserve">     300, W=7'</t>
  </si>
  <si>
    <t xml:space="preserve">     300, W=10'</t>
  </si>
  <si>
    <t xml:space="preserve">     300, W=14'</t>
  </si>
  <si>
    <t xml:space="preserve">     300, W=21'</t>
  </si>
  <si>
    <t xml:space="preserve">     300, W=28'</t>
  </si>
  <si>
    <t xml:space="preserve">     323</t>
  </si>
  <si>
    <t xml:space="preserve">     330</t>
  </si>
  <si>
    <t xml:space="preserve">     57"</t>
  </si>
  <si>
    <t>CPI Starting 07/2019 because based unit prices were calculated on 12/2018</t>
  </si>
  <si>
    <t>Pursuant to Section 20.08.090 of Title 20 of the County Code, fees are collected as follows: (a) Processing a Certificate of Registration or a Water Utility Authorization $636.00</t>
  </si>
  <si>
    <t>LANDSCAPING PLANCHECK AND INSPECTION FEES</t>
  </si>
  <si>
    <t>Number of Landscaping Plan Sheets</t>
  </si>
  <si>
    <t>Area of Landscaping in Square Feet  (RR)</t>
  </si>
  <si>
    <t>Landscaping Plancheck *</t>
  </si>
  <si>
    <t>Contingency (15% x RR=SS)</t>
  </si>
  <si>
    <t>Total Landscape Area (RR+SS=TT)</t>
  </si>
  <si>
    <t>Inspection (Use Table 3) (VV)</t>
  </si>
  <si>
    <t>Inspection fee is Rounded up to nearest thousand.</t>
  </si>
  <si>
    <t>Pursuant to Section 20.12.091 of Title 20 of the County Code, fees are collected as follows: (a) Water Appeals Board filing fee $1,853.00 to be applied to the Department of Public Works.  (b) Water Appeals Board filing fee $139.00 to be applied to the Fire Department.</t>
  </si>
  <si>
    <t>*Landscaping deposit is $390/sheet (minimum). The County may ask for an additional deposit to cover its review cost.</t>
  </si>
  <si>
    <t xml:space="preserve"> Effective July 1, 2023</t>
  </si>
  <si>
    <t xml:space="preserve">*Plan Checks beyond the 4th submittal will require an additional payment in the amount of $439 per sheet, per submittal.  </t>
  </si>
  <si>
    <r>
      <t xml:space="preserve">Revisions to an already approved plan will require a fee in the amount of </t>
    </r>
    <r>
      <rPr>
        <b/>
        <u/>
        <sz val="10"/>
        <rFont val="Arial"/>
        <family val="2"/>
      </rPr>
      <t>$439 per sheet, per submittal</t>
    </r>
    <r>
      <rPr>
        <b/>
        <sz val="10"/>
        <rFont val="Arial"/>
        <family val="2"/>
      </rPr>
      <t xml:space="preserve">. </t>
    </r>
  </si>
  <si>
    <t>GRADING PLAN CHECK FEE AND BOND AMOUNT WORKSHEET              2023/2024</t>
  </si>
  <si>
    <t>(c) Revisions - Fee is based on $205.00 per hour.</t>
  </si>
  <si>
    <t>(e) A fee of $645.00 if the project includes a Quimby park.</t>
  </si>
  <si>
    <t>(f) A fee of $989.00 if the project includes a publicly dedicated trail, to be 
    applied to the department of parks and recreation.</t>
  </si>
  <si>
    <t>(d) A fee of $478.00 to be applied to the fire department.</t>
  </si>
  <si>
    <t>2. Minor revision - $286.00 per sheet</t>
  </si>
  <si>
    <t>1. After the third submittal - Fee is based on $205.00 per hour</t>
  </si>
  <si>
    <t>2. Revisions - Fee is based on $205.00 per hour</t>
  </si>
  <si>
    <t>3. Sewer Area Study - Fee is based on $205.00 per hour with an initial deposit of $3000.00</t>
  </si>
  <si>
    <t>D.  For additional work approved by the County Engineer but not included in the original permit, the applicant shall pay a base fee of $23 and an additional fee of $23 for each $100, or fractional part thereof, of the total valuation of such additional work.</t>
  </si>
  <si>
    <t>Where the water system includes fire hydrants a fee, to be applied to the Fire Department, of $301.00 for the first ten hydrants and $35.00 per hydrant in excess of ten</t>
  </si>
  <si>
    <t>1. Revisions - Fee is based on $946.00 for each 1,000 ft of the affected length of the Water Main Line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</si>
</sst>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5" formatCode="&quot;$&quot;#,##0_);\(&quot;$&quot;#,##0\)"/>
    <numFmt numFmtId="6" formatCode="&quot;$&quot;#,##0_);[Red]\(&quot;$&quot;#,##0\)"/>
    <numFmt numFmtId="8" formatCode="&quot;$&quot;#,##0.00_);[Red]\(&quot;$&quot;#,##0.00\)"/>
    <numFmt numFmtId="44" formatCode="_(&quot;$&quot;* #,##0.00_);_(&quot;$&quot;* \(#,##0.00\);_(&quot;$&quot;* &quot;-&quot;??_);_(@_)"/>
    <numFmt numFmtId="43" formatCode="_(* #,##0.00_);_(* \(#,##0.00\);_(* &quot;-&quot;??_);_(@_)"/>
    <numFmt numFmtId="164" formatCode="&quot;$&quot;#,##0.00"/>
    <numFmt numFmtId="165" formatCode="_(&quot;$&quot;* #,##0.0_);_(&quot;$&quot;* \(#,##0.0\);_(&quot;$&quot;* &quot;-&quot;??_);_(@_)"/>
    <numFmt numFmtId="166" formatCode="&quot;$&quot;#,##0.000_);[Red]\(&quot;$&quot;#,##0.000\)"/>
    <numFmt numFmtId="167" formatCode="_(* #,##0_);_(* \(#,##0\);_(* &quot;-&quot;??_);_(@_)"/>
    <numFmt numFmtId="168" formatCode="&quot;$&quot;#,##0"/>
    <numFmt numFmtId="169" formatCode="_(&quot;$&quot;* #,##0.0000_);_(&quot;$&quot;* \(#,##0.0000\);_(&quot;$&quot;* &quot;-&quot;??_);_(@_)"/>
    <numFmt numFmtId="170" formatCode="_(&quot;$&quot;* #,##0_);_(&quot;$&quot;* \(#,##0\);_(&quot;$&quot;* &quot;-&quot;??_);_(@_)"/>
    <numFmt numFmtId="171" formatCode="#,##0.0000000"/>
  </numFmts>
  <fonts count="24" x14ac:knownFonts="1">
    <font>
      <sz val="10"/>
      <name val="Arial"/>
    </font>
    <font>
      <sz val="10"/>
      <name val="Arial"/>
      <family val="2"/>
    </font>
    <font>
      <b/>
      <i/>
      <sz val="10"/>
      <name val="Arial"/>
      <family val="2"/>
    </font>
    <font>
      <sz val="10"/>
      <name val="Arial"/>
      <family val="2"/>
    </font>
    <font>
      <b/>
      <sz val="10"/>
      <name val="Arial"/>
      <family val="2"/>
    </font>
    <font>
      <b/>
      <sz val="10"/>
      <color indexed="8"/>
      <name val="Arial"/>
      <family val="2"/>
    </font>
    <font>
      <sz val="10"/>
      <color indexed="8"/>
      <name val="Arial"/>
      <family val="2"/>
    </font>
    <font>
      <u/>
      <sz val="10"/>
      <name val="Arial"/>
      <family val="2"/>
    </font>
    <font>
      <b/>
      <sz val="18"/>
      <name val="Arial"/>
      <family val="2"/>
    </font>
    <font>
      <b/>
      <i/>
      <sz val="11"/>
      <name val="Arial"/>
      <family val="2"/>
    </font>
    <font>
      <u/>
      <sz val="12"/>
      <name val="Arial"/>
      <family val="2"/>
    </font>
    <font>
      <sz val="12"/>
      <name val="Arial"/>
      <family val="2"/>
    </font>
    <font>
      <b/>
      <sz val="12"/>
      <name val="Arial"/>
      <family val="2"/>
    </font>
    <font>
      <sz val="11"/>
      <name val="Arial"/>
      <family val="2"/>
    </font>
    <font>
      <sz val="8"/>
      <name val="Arial"/>
      <family val="2"/>
    </font>
    <font>
      <sz val="7"/>
      <name val="Arial"/>
      <family val="2"/>
    </font>
    <font>
      <b/>
      <u/>
      <sz val="10"/>
      <name val="Arial"/>
      <family val="2"/>
    </font>
    <font>
      <sz val="8.5"/>
      <name val="Arial"/>
      <family val="2"/>
    </font>
    <font>
      <b/>
      <sz val="8.5"/>
      <name val="Arial"/>
      <family val="2"/>
    </font>
    <font>
      <b/>
      <u/>
      <sz val="12"/>
      <name val="Arial"/>
      <family val="2"/>
    </font>
    <font>
      <sz val="12"/>
      <color indexed="8"/>
      <name val="Arial"/>
      <family val="2"/>
    </font>
    <font>
      <u/>
      <sz val="10"/>
      <color theme="10"/>
      <name val="Arial"/>
      <family val="2"/>
    </font>
    <font>
      <sz val="10"/>
      <color theme="0"/>
      <name val="Arial"/>
      <family val="2"/>
    </font>
    <font>
      <b/>
      <sz val="11"/>
      <color theme="1"/>
      <name val="Calibri"/>
      <family val="2"/>
      <scheme val="minor"/>
    </font>
  </fonts>
  <fills count="12">
    <fill>
      <patternFill patternType="none"/>
    </fill>
    <fill>
      <patternFill patternType="gray125"/>
    </fill>
    <fill>
      <patternFill patternType="solid">
        <fgColor indexed="13"/>
        <bgColor indexed="64"/>
      </patternFill>
    </fill>
    <fill>
      <patternFill patternType="solid">
        <fgColor indexed="41"/>
        <bgColor indexed="64"/>
      </patternFill>
    </fill>
    <fill>
      <patternFill patternType="solid">
        <fgColor indexed="43"/>
        <bgColor indexed="64"/>
      </patternFill>
    </fill>
    <fill>
      <patternFill patternType="solid">
        <fgColor rgb="FF00B050"/>
        <bgColor indexed="64"/>
      </patternFill>
    </fill>
    <fill>
      <patternFill patternType="solid">
        <fgColor rgb="FF66FFFF"/>
        <bgColor indexed="64"/>
      </patternFill>
    </fill>
    <fill>
      <patternFill patternType="solid">
        <fgColor indexed="40"/>
        <bgColor indexed="64"/>
      </patternFill>
    </fill>
    <fill>
      <patternFill patternType="solid">
        <fgColor rgb="FFFFFF00"/>
        <bgColor indexed="64"/>
      </patternFill>
    </fill>
    <fill>
      <patternFill patternType="solid">
        <fgColor theme="0"/>
        <bgColor indexed="64"/>
      </patternFill>
    </fill>
    <fill>
      <patternFill patternType="solid">
        <fgColor rgb="FF00B0F0"/>
        <bgColor indexed="64"/>
      </patternFill>
    </fill>
    <fill>
      <patternFill patternType="solid">
        <fgColor rgb="FFFFFF99"/>
        <bgColor indexed="64"/>
      </patternFill>
    </fill>
  </fills>
  <borders count="77">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style="medium">
        <color indexed="64"/>
      </bottom>
      <diagonal/>
    </border>
    <border>
      <left/>
      <right/>
      <top style="medium">
        <color indexed="64"/>
      </top>
      <bottom/>
      <diagonal/>
    </border>
    <border>
      <left style="thin">
        <color indexed="64"/>
      </left>
      <right style="thin">
        <color indexed="64"/>
      </right>
      <top/>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bottom/>
      <diagonal/>
    </border>
    <border>
      <left/>
      <right style="double">
        <color indexed="64"/>
      </right>
      <top/>
      <bottom/>
      <diagonal/>
    </border>
    <border>
      <left/>
      <right/>
      <top/>
      <bottom style="double">
        <color indexed="64"/>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thin">
        <color indexed="64"/>
      </bottom>
      <diagonal/>
    </border>
    <border>
      <left/>
      <right style="double">
        <color indexed="64"/>
      </right>
      <top/>
      <bottom style="thin">
        <color indexed="64"/>
      </bottom>
      <diagonal/>
    </border>
  </borders>
  <cellStyleXfs count="9">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0" fontId="21" fillId="0" borderId="0" applyNumberFormat="0" applyFill="0" applyBorder="0" applyAlignment="0" applyProtection="0"/>
  </cellStyleXfs>
  <cellXfs count="637">
    <xf numFmtId="0" fontId="0" fillId="0" borderId="0" xfId="0"/>
    <xf numFmtId="0" fontId="4" fillId="0" borderId="0" xfId="0" applyFont="1"/>
    <xf numFmtId="0" fontId="0" fillId="0" borderId="0" xfId="0" applyAlignment="1"/>
    <xf numFmtId="0" fontId="3" fillId="0" borderId="0" xfId="0" applyFont="1" applyFill="1"/>
    <xf numFmtId="3" fontId="3" fillId="4" borderId="2" xfId="1" applyNumberFormat="1" applyFont="1" applyFill="1" applyBorder="1" applyProtection="1">
      <protection locked="0"/>
    </xf>
    <xf numFmtId="3" fontId="3" fillId="4" borderId="32" xfId="1" applyNumberFormat="1" applyFont="1" applyFill="1" applyBorder="1" applyProtection="1">
      <protection locked="0"/>
    </xf>
    <xf numFmtId="3" fontId="3" fillId="4" borderId="11" xfId="1" applyNumberFormat="1" applyFont="1" applyFill="1" applyBorder="1" applyProtection="1">
      <protection locked="0"/>
    </xf>
    <xf numFmtId="3" fontId="3" fillId="4" borderId="40" xfId="1" applyNumberFormat="1" applyFont="1" applyFill="1" applyBorder="1" applyProtection="1">
      <protection locked="0"/>
    </xf>
    <xf numFmtId="3" fontId="0" fillId="4" borderId="1" xfId="0" applyNumberFormat="1" applyFill="1" applyBorder="1" applyAlignment="1" applyProtection="1">
      <alignment horizontal="center"/>
      <protection locked="0"/>
    </xf>
    <xf numFmtId="3" fontId="3" fillId="4" borderId="2" xfId="0" applyNumberFormat="1" applyFont="1" applyFill="1" applyBorder="1" applyProtection="1">
      <protection locked="0"/>
    </xf>
    <xf numFmtId="3" fontId="3" fillId="4" borderId="2" xfId="1" applyNumberFormat="1" applyFont="1" applyFill="1" applyBorder="1" applyAlignment="1" applyProtection="1">
      <alignment horizontal="right"/>
      <protection locked="0"/>
    </xf>
    <xf numFmtId="3" fontId="3" fillId="4" borderId="42" xfId="1" applyNumberFormat="1" applyFont="1" applyFill="1" applyBorder="1" applyProtection="1">
      <protection locked="0"/>
    </xf>
    <xf numFmtId="44" fontId="3" fillId="0" borderId="15" xfId="1" applyFont="1" applyBorder="1" applyProtection="1">
      <protection locked="0"/>
    </xf>
    <xf numFmtId="0" fontId="3" fillId="0" borderId="37" xfId="0" applyFont="1" applyBorder="1" applyProtection="1">
      <protection locked="0"/>
    </xf>
    <xf numFmtId="0" fontId="3" fillId="0" borderId="27" xfId="0" applyFont="1" applyBorder="1" applyProtection="1">
      <protection locked="0"/>
    </xf>
    <xf numFmtId="0" fontId="3" fillId="0" borderId="37" xfId="0" quotePrefix="1" applyFont="1" applyBorder="1" applyProtection="1">
      <protection locked="0"/>
    </xf>
    <xf numFmtId="0" fontId="3" fillId="0" borderId="22" xfId="0" quotePrefix="1" applyFont="1" applyBorder="1" applyProtection="1">
      <protection locked="0"/>
    </xf>
    <xf numFmtId="44" fontId="3" fillId="0" borderId="23" xfId="1" applyFont="1" applyBorder="1" applyProtection="1">
      <protection locked="0"/>
    </xf>
    <xf numFmtId="0" fontId="3" fillId="0" borderId="36" xfId="0" applyFont="1" applyBorder="1" applyProtection="1">
      <protection locked="0"/>
    </xf>
    <xf numFmtId="0" fontId="3" fillId="0" borderId="22" xfId="0" applyFont="1" applyBorder="1" applyProtection="1">
      <protection locked="0"/>
    </xf>
    <xf numFmtId="0" fontId="3" fillId="0" borderId="62" xfId="0" applyFont="1" applyBorder="1" applyProtection="1">
      <protection locked="0"/>
    </xf>
    <xf numFmtId="3" fontId="3" fillId="4" borderId="63" xfId="1" applyNumberFormat="1" applyFont="1" applyFill="1" applyBorder="1" applyProtection="1">
      <protection locked="0"/>
    </xf>
    <xf numFmtId="44" fontId="3" fillId="0" borderId="52" xfId="1" applyFont="1" applyBorder="1" applyProtection="1">
      <protection locked="0"/>
    </xf>
    <xf numFmtId="0" fontId="3" fillId="0" borderId="14" xfId="0" applyFont="1" applyBorder="1" applyProtection="1">
      <protection locked="0"/>
    </xf>
    <xf numFmtId="167" fontId="11" fillId="2" borderId="0" xfId="3" applyNumberFormat="1" applyFont="1" applyFill="1" applyBorder="1" applyProtection="1">
      <protection locked="0"/>
    </xf>
    <xf numFmtId="167" fontId="11" fillId="2" borderId="69" xfId="3" applyNumberFormat="1" applyFont="1" applyFill="1" applyBorder="1" applyProtection="1">
      <protection locked="0"/>
    </xf>
    <xf numFmtId="0" fontId="20" fillId="2" borderId="0" xfId="0" applyFont="1" applyFill="1" applyBorder="1" applyAlignment="1" applyProtection="1">
      <alignment horizontal="center"/>
      <protection locked="0"/>
    </xf>
    <xf numFmtId="0" fontId="11" fillId="2" borderId="0" xfId="0" applyFont="1" applyFill="1" applyBorder="1" applyAlignment="1" applyProtection="1">
      <alignment horizontal="left"/>
      <protection locked="0"/>
    </xf>
    <xf numFmtId="44" fontId="11" fillId="2" borderId="0" xfId="1" applyFont="1" applyFill="1" applyBorder="1" applyAlignment="1" applyProtection="1">
      <alignment horizontal="left"/>
      <protection locked="0"/>
    </xf>
    <xf numFmtId="44" fontId="11" fillId="2" borderId="0" xfId="1" applyFont="1" applyFill="1" applyBorder="1" applyProtection="1">
      <protection locked="0"/>
    </xf>
    <xf numFmtId="3" fontId="0" fillId="4" borderId="1" xfId="0" applyNumberFormat="1" applyFill="1" applyBorder="1" applyAlignment="1" applyProtection="1">
      <alignment horizontal="center" vertical="center"/>
      <protection locked="0"/>
    </xf>
    <xf numFmtId="3" fontId="0" fillId="4" borderId="11" xfId="0" applyNumberFormat="1" applyFill="1" applyBorder="1" applyAlignment="1" applyProtection="1">
      <alignment horizontal="center"/>
      <protection locked="0"/>
    </xf>
    <xf numFmtId="3" fontId="3" fillId="4" borderId="15" xfId="1" applyNumberFormat="1" applyFont="1" applyFill="1" applyBorder="1" applyProtection="1">
      <protection locked="0"/>
    </xf>
    <xf numFmtId="0" fontId="0" fillId="0" borderId="0" xfId="0" applyFill="1"/>
    <xf numFmtId="0" fontId="0" fillId="0" borderId="0" xfId="0" applyAlignment="1">
      <alignment wrapText="1"/>
    </xf>
    <xf numFmtId="44" fontId="3" fillId="0" borderId="21" xfId="1" applyFont="1" applyBorder="1" applyProtection="1">
      <protection locked="0"/>
    </xf>
    <xf numFmtId="0" fontId="1" fillId="0" borderId="0" xfId="0" applyFont="1" applyAlignment="1">
      <alignment wrapText="1"/>
    </xf>
    <xf numFmtId="0" fontId="1" fillId="0" borderId="0" xfId="4" applyFont="1" applyAlignment="1">
      <alignment wrapText="1"/>
    </xf>
    <xf numFmtId="0" fontId="1" fillId="0" borderId="0" xfId="4"/>
    <xf numFmtId="0" fontId="1" fillId="0" borderId="0" xfId="4" applyFont="1"/>
    <xf numFmtId="0" fontId="1" fillId="0" borderId="27" xfId="4" applyFont="1" applyBorder="1"/>
    <xf numFmtId="0" fontId="1" fillId="0" borderId="0" xfId="4" applyFont="1" applyBorder="1"/>
    <xf numFmtId="0" fontId="1" fillId="4" borderId="11" xfId="5" applyNumberFormat="1" applyFont="1" applyFill="1" applyBorder="1" applyProtection="1">
      <protection locked="0"/>
    </xf>
    <xf numFmtId="0" fontId="1" fillId="4" borderId="2" xfId="5" applyNumberFormat="1" applyFont="1" applyFill="1" applyBorder="1" applyProtection="1">
      <protection locked="0"/>
    </xf>
    <xf numFmtId="0" fontId="1" fillId="0" borderId="0" xfId="4"/>
    <xf numFmtId="0" fontId="1" fillId="0" borderId="0" xfId="4" applyFont="1"/>
    <xf numFmtId="0" fontId="1" fillId="0" borderId="0" xfId="4" applyFont="1" applyAlignment="1">
      <alignment wrapText="1"/>
    </xf>
    <xf numFmtId="0" fontId="1" fillId="4" borderId="11" xfId="5" applyNumberFormat="1" applyFont="1" applyFill="1" applyBorder="1" applyProtection="1">
      <protection locked="0"/>
    </xf>
    <xf numFmtId="0" fontId="1" fillId="4" borderId="2" xfId="5" applyNumberFormat="1" applyFont="1" applyFill="1" applyBorder="1" applyProtection="1">
      <protection locked="0"/>
    </xf>
    <xf numFmtId="0" fontId="1" fillId="0" borderId="27" xfId="4" applyBorder="1"/>
    <xf numFmtId="0" fontId="4" fillId="0" borderId="0" xfId="0" applyNumberFormat="1" applyFont="1"/>
    <xf numFmtId="44" fontId="3" fillId="0" borderId="36" xfId="1" applyFont="1" applyBorder="1" applyProtection="1">
      <protection locked="0"/>
    </xf>
    <xf numFmtId="0" fontId="1" fillId="0" borderId="27" xfId="4" applyFont="1" applyBorder="1"/>
    <xf numFmtId="0" fontId="1" fillId="0" borderId="0" xfId="4" applyFont="1" applyBorder="1"/>
    <xf numFmtId="0" fontId="1" fillId="4" borderId="11" xfId="5" applyNumberFormat="1" applyFont="1" applyFill="1" applyBorder="1" applyProtection="1">
      <protection locked="0"/>
    </xf>
    <xf numFmtId="0" fontId="1" fillId="0" borderId="27" xfId="4" applyBorder="1"/>
    <xf numFmtId="0" fontId="21" fillId="0" borderId="0" xfId="8"/>
    <xf numFmtId="3" fontId="3" fillId="0" borderId="2" xfId="1" applyNumberFormat="1" applyFont="1" applyBorder="1" applyProtection="1">
      <protection locked="0"/>
    </xf>
    <xf numFmtId="44" fontId="1" fillId="0" borderId="21" xfId="1" applyFont="1" applyBorder="1" applyProtection="1">
      <protection locked="0"/>
    </xf>
    <xf numFmtId="0" fontId="3" fillId="0" borderId="16" xfId="0" applyFont="1" applyBorder="1" applyProtection="1">
      <protection locked="0"/>
    </xf>
    <xf numFmtId="44" fontId="1" fillId="0" borderId="15" xfId="1" applyFont="1" applyBorder="1" applyProtection="1">
      <protection locked="0"/>
    </xf>
    <xf numFmtId="44" fontId="3" fillId="0" borderId="0" xfId="1" applyFont="1" applyBorder="1" applyProtection="1">
      <protection locked="0"/>
    </xf>
    <xf numFmtId="0" fontId="3" fillId="0" borderId="0" xfId="0" applyFont="1" applyBorder="1" applyProtection="1">
      <protection locked="0"/>
    </xf>
    <xf numFmtId="3" fontId="3" fillId="0" borderId="2" xfId="1" applyNumberFormat="1" applyFont="1" applyFill="1" applyBorder="1" applyProtection="1">
      <protection locked="0"/>
    </xf>
    <xf numFmtId="0" fontId="3" fillId="0" borderId="21" xfId="0" applyFont="1" applyBorder="1" applyProtection="1">
      <protection locked="0"/>
    </xf>
    <xf numFmtId="44" fontId="3" fillId="0" borderId="6" xfId="1" applyFont="1" applyBorder="1" applyProtection="1">
      <protection locked="0"/>
    </xf>
    <xf numFmtId="44" fontId="3" fillId="0" borderId="17" xfId="0" applyNumberFormat="1" applyFont="1" applyBorder="1" applyProtection="1"/>
    <xf numFmtId="0" fontId="1" fillId="0" borderId="39" xfId="0" applyFont="1" applyBorder="1" applyProtection="1">
      <protection locked="0"/>
    </xf>
    <xf numFmtId="44" fontId="1" fillId="0" borderId="15" xfId="1" applyFont="1" applyBorder="1" applyProtection="1"/>
    <xf numFmtId="44" fontId="3" fillId="0" borderId="2" xfId="0" applyNumberFormat="1" applyFont="1" applyBorder="1" applyProtection="1"/>
    <xf numFmtId="44" fontId="0" fillId="0" borderId="2" xfId="0" applyNumberFormat="1" applyBorder="1" applyProtection="1"/>
    <xf numFmtId="44" fontId="6" fillId="3" borderId="1" xfId="0" applyNumberFormat="1" applyFont="1" applyFill="1" applyBorder="1" applyProtection="1"/>
    <xf numFmtId="44" fontId="0" fillId="0" borderId="46" xfId="0" applyNumberFormat="1" applyBorder="1" applyProtection="1"/>
    <xf numFmtId="44" fontId="3" fillId="0" borderId="2" xfId="1" applyFont="1" applyBorder="1" applyProtection="1"/>
    <xf numFmtId="44" fontId="3" fillId="0" borderId="32" xfId="0" applyNumberFormat="1" applyFont="1" applyBorder="1" applyProtection="1"/>
    <xf numFmtId="44" fontId="3" fillId="3" borderId="1" xfId="0" applyNumberFormat="1" applyFont="1" applyFill="1" applyBorder="1" applyProtection="1"/>
    <xf numFmtId="44" fontId="3" fillId="0" borderId="43" xfId="0" applyNumberFormat="1" applyFont="1" applyBorder="1" applyProtection="1"/>
    <xf numFmtId="44" fontId="0" fillId="0" borderId="32" xfId="0" applyNumberFormat="1" applyBorder="1" applyProtection="1"/>
    <xf numFmtId="44" fontId="0" fillId="0" borderId="2" xfId="1" applyFont="1" applyBorder="1" applyAlignment="1" applyProtection="1"/>
    <xf numFmtId="44" fontId="0" fillId="3" borderId="1" xfId="1" applyFont="1" applyFill="1" applyBorder="1" applyAlignment="1" applyProtection="1">
      <alignment horizontal="center"/>
    </xf>
    <xf numFmtId="44" fontId="0" fillId="0" borderId="40" xfId="0" applyNumberFormat="1" applyBorder="1" applyProtection="1"/>
    <xf numFmtId="44" fontId="0" fillId="3" borderId="1" xfId="1" applyFont="1" applyFill="1" applyBorder="1" applyProtection="1"/>
    <xf numFmtId="0" fontId="3" fillId="0" borderId="0" xfId="0" applyFont="1" applyFill="1" applyBorder="1" applyAlignment="1" applyProtection="1">
      <alignment horizontal="left" vertical="top"/>
    </xf>
    <xf numFmtId="167" fontId="12" fillId="0" borderId="0" xfId="3" applyNumberFormat="1" applyFont="1" applyFill="1" applyBorder="1" applyProtection="1"/>
    <xf numFmtId="5" fontId="11" fillId="0" borderId="0" xfId="1" applyNumberFormat="1" applyFont="1" applyProtection="1"/>
    <xf numFmtId="167" fontId="11" fillId="0" borderId="0" xfId="0" applyNumberFormat="1" applyFont="1" applyBorder="1" applyProtection="1"/>
    <xf numFmtId="44" fontId="11" fillId="0" borderId="0" xfId="1" applyFont="1" applyBorder="1" applyProtection="1"/>
    <xf numFmtId="5" fontId="11" fillId="0" borderId="0" xfId="1" applyNumberFormat="1" applyFont="1" applyBorder="1" applyProtection="1"/>
    <xf numFmtId="5" fontId="12" fillId="0" borderId="2" xfId="1" applyNumberFormat="1" applyFont="1" applyFill="1" applyBorder="1" applyAlignment="1" applyProtection="1">
      <alignment horizontal="right"/>
    </xf>
    <xf numFmtId="164" fontId="11" fillId="0" borderId="0" xfId="0" applyNumberFormat="1" applyFont="1" applyBorder="1" applyAlignment="1" applyProtection="1">
      <alignment horizontal="right"/>
    </xf>
    <xf numFmtId="167" fontId="11" fillId="0" borderId="0" xfId="0" applyNumberFormat="1" applyFont="1" applyBorder="1" applyAlignment="1" applyProtection="1"/>
    <xf numFmtId="167" fontId="11" fillId="0" borderId="0" xfId="3" applyNumberFormat="1" applyFont="1" applyBorder="1" applyAlignment="1" applyProtection="1"/>
    <xf numFmtId="0" fontId="11" fillId="0" borderId="0" xfId="0" applyFont="1" applyBorder="1" applyAlignment="1" applyProtection="1">
      <alignment horizontal="right"/>
    </xf>
    <xf numFmtId="44" fontId="11" fillId="0" borderId="0" xfId="1" applyFont="1" applyBorder="1" applyAlignment="1" applyProtection="1"/>
    <xf numFmtId="170" fontId="12" fillId="0" borderId="2" xfId="1" applyNumberFormat="1" applyFont="1" applyFill="1" applyBorder="1" applyProtection="1"/>
    <xf numFmtId="0" fontId="1" fillId="0" borderId="0" xfId="0" applyFont="1" applyFill="1" applyBorder="1" applyProtection="1"/>
    <xf numFmtId="0" fontId="3" fillId="0" borderId="12" xfId="0" applyFont="1" applyBorder="1" applyProtection="1"/>
    <xf numFmtId="44" fontId="0" fillId="0" borderId="17" xfId="0" applyNumberFormat="1" applyBorder="1" applyProtection="1"/>
    <xf numFmtId="44" fontId="0" fillId="0" borderId="25" xfId="0" applyNumberFormat="1" applyBorder="1" applyProtection="1"/>
    <xf numFmtId="44" fontId="0" fillId="0" borderId="31" xfId="0" applyNumberFormat="1" applyFill="1" applyBorder="1" applyProtection="1"/>
    <xf numFmtId="44" fontId="3" fillId="0" borderId="2" xfId="1" applyFont="1" applyFill="1" applyBorder="1" applyProtection="1"/>
    <xf numFmtId="0" fontId="3" fillId="0" borderId="0" xfId="0" applyFont="1" applyFill="1" applyProtection="1"/>
    <xf numFmtId="5" fontId="11" fillId="0" borderId="69" xfId="1" applyNumberFormat="1" applyFont="1" applyBorder="1" applyProtection="1"/>
    <xf numFmtId="44" fontId="0" fillId="0" borderId="38" xfId="0" applyNumberFormat="1" applyBorder="1" applyProtection="1"/>
    <xf numFmtId="44" fontId="0" fillId="0" borderId="13" xfId="0" applyNumberFormat="1" applyBorder="1" applyProtection="1"/>
    <xf numFmtId="44" fontId="0" fillId="0" borderId="5" xfId="0" applyNumberFormat="1" applyBorder="1" applyProtection="1"/>
    <xf numFmtId="44" fontId="0" fillId="0" borderId="1" xfId="0" applyNumberFormat="1" applyBorder="1" applyProtection="1"/>
    <xf numFmtId="44" fontId="0" fillId="0" borderId="35" xfId="0" applyNumberFormat="1" applyBorder="1" applyProtection="1"/>
    <xf numFmtId="44" fontId="6" fillId="6" borderId="1" xfId="0" applyNumberFormat="1" applyFont="1" applyFill="1" applyBorder="1" applyProtection="1"/>
    <xf numFmtId="44" fontId="3" fillId="0" borderId="38" xfId="0" applyNumberFormat="1" applyFont="1" applyBorder="1" applyProtection="1"/>
    <xf numFmtId="44" fontId="3" fillId="6" borderId="1" xfId="0" applyNumberFormat="1" applyFont="1" applyFill="1" applyBorder="1" applyProtection="1"/>
    <xf numFmtId="44" fontId="3" fillId="0" borderId="56" xfId="1" applyFont="1" applyBorder="1" applyProtection="1"/>
    <xf numFmtId="44" fontId="0" fillId="6" borderId="1" xfId="1" applyFont="1" applyFill="1" applyBorder="1" applyProtection="1"/>
    <xf numFmtId="2" fontId="3" fillId="0" borderId="32" xfId="1" applyNumberFormat="1" applyFont="1" applyFill="1" applyBorder="1" applyProtection="1"/>
    <xf numFmtId="0" fontId="3" fillId="0" borderId="0" xfId="0" applyFont="1" applyFill="1" applyBorder="1" applyProtection="1"/>
    <xf numFmtId="164" fontId="22" fillId="0" borderId="0" xfId="0" applyNumberFormat="1" applyFont="1" applyFill="1" applyProtection="1"/>
    <xf numFmtId="0" fontId="0" fillId="0" borderId="0" xfId="0" applyFill="1" applyProtection="1"/>
    <xf numFmtId="44" fontId="22" fillId="0" borderId="0" xfId="1" applyFont="1" applyFill="1" applyAlignment="1" applyProtection="1">
      <alignment vertical="center"/>
    </xf>
    <xf numFmtId="0" fontId="3" fillId="0" borderId="0" xfId="0" applyFont="1" applyProtection="1"/>
    <xf numFmtId="3" fontId="4" fillId="0" borderId="0" xfId="0" applyNumberFormat="1" applyFont="1" applyProtection="1"/>
    <xf numFmtId="44" fontId="3" fillId="0" borderId="0" xfId="1" applyFont="1" applyProtection="1"/>
    <xf numFmtId="0" fontId="0" fillId="0" borderId="0" xfId="0" applyProtection="1"/>
    <xf numFmtId="3" fontId="3" fillId="0" borderId="0" xfId="0" applyNumberFormat="1" applyFont="1" applyProtection="1"/>
    <xf numFmtId="0" fontId="2" fillId="5" borderId="1" xfId="0" applyFont="1" applyFill="1" applyBorder="1" applyAlignment="1" applyProtection="1">
      <alignment horizontal="center"/>
    </xf>
    <xf numFmtId="3" fontId="2" fillId="5" borderId="1" xfId="0" applyNumberFormat="1" applyFont="1" applyFill="1" applyBorder="1" applyAlignment="1" applyProtection="1">
      <alignment horizontal="center"/>
    </xf>
    <xf numFmtId="0" fontId="3" fillId="0" borderId="10" xfId="0" applyFont="1" applyBorder="1" applyProtection="1"/>
    <xf numFmtId="3" fontId="3" fillId="0" borderId="11" xfId="0" applyNumberFormat="1" applyFont="1" applyBorder="1" applyProtection="1"/>
    <xf numFmtId="0" fontId="3" fillId="0" borderId="13" xfId="0" applyFont="1" applyBorder="1" applyProtection="1"/>
    <xf numFmtId="0" fontId="3" fillId="0" borderId="14" xfId="0" applyFont="1" applyBorder="1" applyProtection="1"/>
    <xf numFmtId="3" fontId="3" fillId="0" borderId="2" xfId="1" applyNumberFormat="1" applyFont="1" applyBorder="1" applyProtection="1"/>
    <xf numFmtId="44" fontId="3" fillId="0" borderId="15" xfId="1" applyFont="1" applyBorder="1" applyProtection="1"/>
    <xf numFmtId="0" fontId="3" fillId="0" borderId="21" xfId="0" applyFont="1" applyBorder="1" applyProtection="1"/>
    <xf numFmtId="0" fontId="3" fillId="0" borderId="16" xfId="0" applyFont="1" applyBorder="1" applyProtection="1"/>
    <xf numFmtId="164" fontId="3" fillId="0" borderId="16" xfId="0" applyNumberFormat="1" applyFont="1" applyBorder="1" applyProtection="1"/>
    <xf numFmtId="0" fontId="0" fillId="0" borderId="0" xfId="0" applyFill="1" applyBorder="1" applyProtection="1"/>
    <xf numFmtId="3" fontId="3" fillId="0" borderId="2" xfId="1" applyNumberFormat="1" applyFont="1" applyFill="1" applyBorder="1" applyProtection="1"/>
    <xf numFmtId="0" fontId="3" fillId="0" borderId="14" xfId="0" quotePrefix="1" applyFont="1" applyBorder="1" applyProtection="1"/>
    <xf numFmtId="0" fontId="3" fillId="0" borderId="0" xfId="0" applyFont="1" applyFill="1" applyBorder="1" applyAlignment="1" applyProtection="1">
      <alignment horizontal="left"/>
    </xf>
    <xf numFmtId="0" fontId="0" fillId="0" borderId="0" xfId="0" applyFill="1" applyBorder="1" applyAlignment="1" applyProtection="1">
      <alignment horizontal="left"/>
    </xf>
    <xf numFmtId="0" fontId="3" fillId="0" borderId="0" xfId="0" applyFont="1" applyFill="1" applyBorder="1" applyAlignment="1" applyProtection="1">
      <alignment horizontal="center"/>
    </xf>
    <xf numFmtId="0" fontId="0" fillId="0" borderId="0" xfId="0" applyFill="1" applyBorder="1" applyAlignment="1" applyProtection="1">
      <alignment horizontal="center"/>
    </xf>
    <xf numFmtId="44" fontId="3" fillId="0" borderId="21" xfId="1" applyFont="1" applyBorder="1" applyProtection="1"/>
    <xf numFmtId="0" fontId="3" fillId="0" borderId="21" xfId="0" quotePrefix="1" applyFont="1" applyBorder="1" applyProtection="1"/>
    <xf numFmtId="0" fontId="3" fillId="0" borderId="37" xfId="0" applyFont="1" applyBorder="1" applyProtection="1"/>
    <xf numFmtId="0" fontId="3" fillId="0" borderId="27" xfId="0" applyFont="1" applyBorder="1" applyProtection="1"/>
    <xf numFmtId="0" fontId="3" fillId="0" borderId="28" xfId="0" applyFont="1" applyBorder="1" applyProtection="1"/>
    <xf numFmtId="164" fontId="3" fillId="0" borderId="28" xfId="0" applyNumberFormat="1" applyFont="1" applyBorder="1" applyProtection="1"/>
    <xf numFmtId="0" fontId="3" fillId="0" borderId="24" xfId="0" applyFont="1" applyBorder="1" applyProtection="1"/>
    <xf numFmtId="44" fontId="3" fillId="0" borderId="25" xfId="0" applyNumberFormat="1" applyFont="1" applyBorder="1" applyProtection="1"/>
    <xf numFmtId="0" fontId="3" fillId="0" borderId="0" xfId="0" applyFont="1" applyFill="1" applyBorder="1" applyAlignment="1" applyProtection="1">
      <alignment horizontal="right"/>
    </xf>
    <xf numFmtId="0" fontId="3" fillId="0" borderId="0" xfId="0" applyFont="1" applyBorder="1" applyAlignment="1" applyProtection="1">
      <alignment horizontal="right"/>
    </xf>
    <xf numFmtId="0" fontId="0" fillId="0" borderId="0" xfId="0" applyAlignment="1" applyProtection="1">
      <alignment horizontal="right"/>
    </xf>
    <xf numFmtId="3" fontId="3" fillId="0" borderId="0" xfId="0" applyNumberFormat="1" applyFont="1" applyFill="1" applyBorder="1" applyProtection="1"/>
    <xf numFmtId="9" fontId="3" fillId="0" borderId="0" xfId="2" applyFont="1" applyProtection="1"/>
    <xf numFmtId="44" fontId="3" fillId="0" borderId="0" xfId="0" applyNumberFormat="1" applyFont="1" applyFill="1" applyBorder="1" applyProtection="1"/>
    <xf numFmtId="0" fontId="5" fillId="0" borderId="0" xfId="0" applyFont="1" applyFill="1" applyBorder="1" applyAlignment="1" applyProtection="1">
      <alignment horizontal="right"/>
    </xf>
    <xf numFmtId="44" fontId="3" fillId="0" borderId="0" xfId="1" applyFont="1" applyAlignment="1" applyProtection="1">
      <alignment horizontal="right"/>
    </xf>
    <xf numFmtId="44" fontId="3" fillId="0" borderId="0" xfId="0" applyNumberFormat="1" applyFont="1" applyBorder="1" applyAlignment="1" applyProtection="1">
      <alignment horizontal="right"/>
    </xf>
    <xf numFmtId="44" fontId="3" fillId="0" borderId="0" xfId="0" applyNumberFormat="1" applyFont="1" applyBorder="1" applyProtection="1"/>
    <xf numFmtId="0" fontId="3" fillId="0" borderId="26" xfId="0" applyFont="1" applyBorder="1" applyProtection="1"/>
    <xf numFmtId="3" fontId="3" fillId="0" borderId="27" xfId="0" applyNumberFormat="1" applyFont="1" applyBorder="1" applyAlignment="1" applyProtection="1">
      <alignment horizontal="left"/>
    </xf>
    <xf numFmtId="44" fontId="3" fillId="0" borderId="27" xfId="1" applyFont="1" applyBorder="1" applyProtection="1"/>
    <xf numFmtId="0" fontId="4" fillId="0" borderId="6" xfId="0" applyFont="1" applyBorder="1" applyAlignment="1" applyProtection="1">
      <alignment horizontal="center"/>
    </xf>
    <xf numFmtId="3" fontId="3" fillId="0" borderId="0" xfId="0" applyNumberFormat="1" applyFont="1" applyBorder="1" applyProtection="1"/>
    <xf numFmtId="44" fontId="3" fillId="0" borderId="0" xfId="1" applyFont="1" applyBorder="1" applyProtection="1"/>
    <xf numFmtId="0" fontId="3" fillId="0" borderId="0" xfId="0" applyFont="1" applyBorder="1" applyProtection="1"/>
    <xf numFmtId="0" fontId="3" fillId="0" borderId="29" xfId="0" applyFont="1" applyBorder="1" applyProtection="1"/>
    <xf numFmtId="0" fontId="3" fillId="0" borderId="6" xfId="0" applyFont="1" applyBorder="1" applyProtection="1"/>
    <xf numFmtId="44" fontId="0" fillId="0" borderId="0" xfId="0" applyNumberFormat="1" applyBorder="1" applyProtection="1"/>
    <xf numFmtId="0" fontId="4" fillId="0" borderId="0" xfId="0" applyFont="1" applyBorder="1" applyAlignment="1" applyProtection="1">
      <alignment horizontal="right"/>
    </xf>
    <xf numFmtId="0" fontId="3" fillId="0" borderId="18" xfId="0" applyFont="1" applyBorder="1" applyProtection="1"/>
    <xf numFmtId="3" fontId="3" fillId="0" borderId="19" xfId="0" applyNumberFormat="1" applyFont="1" applyBorder="1" applyProtection="1"/>
    <xf numFmtId="44" fontId="3" fillId="0" borderId="19" xfId="1" applyFont="1" applyBorder="1" applyProtection="1"/>
    <xf numFmtId="0" fontId="3" fillId="0" borderId="19" xfId="0" applyFont="1" applyBorder="1" applyProtection="1"/>
    <xf numFmtId="0" fontId="3" fillId="0" borderId="20" xfId="0" applyFont="1" applyBorder="1" applyProtection="1"/>
    <xf numFmtId="0" fontId="3" fillId="0" borderId="3" xfId="0" applyFont="1" applyBorder="1" applyAlignment="1" applyProtection="1">
      <alignment horizontal="left"/>
    </xf>
    <xf numFmtId="3" fontId="3" fillId="0" borderId="33" xfId="0" applyNumberFormat="1" applyFont="1" applyBorder="1" applyAlignment="1" applyProtection="1">
      <alignment horizontal="center"/>
    </xf>
    <xf numFmtId="44" fontId="3" fillId="0" borderId="33" xfId="1" applyFont="1" applyBorder="1" applyProtection="1"/>
    <xf numFmtId="0" fontId="3" fillId="0" borderId="4" xfId="0" applyFont="1" applyBorder="1" applyProtection="1"/>
    <xf numFmtId="0" fontId="7" fillId="0" borderId="7" xfId="0" applyFont="1" applyBorder="1" applyAlignment="1" applyProtection="1">
      <alignment horizontal="center" vertical="top" wrapText="1"/>
    </xf>
    <xf numFmtId="0" fontId="7" fillId="0" borderId="0" xfId="0" applyFont="1" applyBorder="1" applyAlignment="1" applyProtection="1">
      <alignment horizontal="center" vertical="top"/>
    </xf>
    <xf numFmtId="0" fontId="3" fillId="0" borderId="34" xfId="0" applyFont="1" applyBorder="1" applyProtection="1"/>
    <xf numFmtId="0" fontId="3" fillId="0" borderId="7" xfId="0" applyFont="1" applyFill="1" applyBorder="1" applyAlignment="1" applyProtection="1">
      <alignment vertical="top" wrapText="1"/>
    </xf>
    <xf numFmtId="44" fontId="3" fillId="0" borderId="0" xfId="1" applyFont="1" applyFill="1" applyBorder="1" applyProtection="1"/>
    <xf numFmtId="44" fontId="3" fillId="0" borderId="0" xfId="1" quotePrefix="1" applyFont="1" applyFill="1" applyBorder="1" applyAlignment="1" applyProtection="1">
      <alignment horizontal="right"/>
    </xf>
    <xf numFmtId="44" fontId="3" fillId="0" borderId="0" xfId="1" applyFont="1" applyFill="1" applyBorder="1" applyAlignment="1" applyProtection="1">
      <alignment horizontal="left"/>
    </xf>
    <xf numFmtId="0" fontId="3" fillId="0" borderId="8" xfId="0" applyFont="1" applyFill="1" applyBorder="1" applyAlignment="1" applyProtection="1">
      <alignment vertical="top" wrapText="1"/>
    </xf>
    <xf numFmtId="44" fontId="3" fillId="0" borderId="9" xfId="1" quotePrefix="1" applyFont="1" applyFill="1" applyBorder="1" applyAlignment="1" applyProtection="1">
      <alignment horizontal="right"/>
    </xf>
    <xf numFmtId="44" fontId="3" fillId="0" borderId="9" xfId="1" applyFont="1" applyFill="1" applyBorder="1" applyAlignment="1" applyProtection="1">
      <alignment horizontal="left"/>
    </xf>
    <xf numFmtId="0" fontId="12" fillId="0" borderId="41" xfId="0" applyFont="1" applyFill="1" applyBorder="1" applyAlignment="1" applyProtection="1">
      <alignment horizontal="left" vertical="top"/>
    </xf>
    <xf numFmtId="3" fontId="3" fillId="0" borderId="0" xfId="0" applyNumberFormat="1" applyFont="1" applyFill="1" applyProtection="1"/>
    <xf numFmtId="44" fontId="3" fillId="0" borderId="0" xfId="1" applyFont="1" applyFill="1" applyProtection="1"/>
    <xf numFmtId="0" fontId="3" fillId="0" borderId="0" xfId="0" applyFont="1" applyFill="1" applyAlignment="1" applyProtection="1">
      <alignment horizontal="left"/>
    </xf>
    <xf numFmtId="0" fontId="12" fillId="0" borderId="0" xfId="0" applyFont="1" applyFill="1" applyBorder="1" applyAlignment="1" applyProtection="1">
      <alignment horizontal="left" vertical="top"/>
    </xf>
    <xf numFmtId="3" fontId="3" fillId="0" borderId="33" xfId="0" applyNumberFormat="1" applyFont="1" applyFill="1" applyBorder="1" applyAlignment="1" applyProtection="1">
      <alignment horizontal="center"/>
    </xf>
    <xf numFmtId="44" fontId="3" fillId="0" borderId="33" xfId="1" applyFont="1" applyFill="1" applyBorder="1" applyProtection="1"/>
    <xf numFmtId="44" fontId="3" fillId="0" borderId="33" xfId="1" applyFont="1" applyFill="1" applyBorder="1" applyAlignment="1" applyProtection="1">
      <alignment horizontal="left"/>
    </xf>
    <xf numFmtId="0" fontId="7" fillId="0" borderId="0" xfId="0" applyFont="1" applyFill="1" applyBorder="1" applyAlignment="1" applyProtection="1">
      <alignment horizontal="center" vertical="top"/>
    </xf>
    <xf numFmtId="44" fontId="1" fillId="0" borderId="0" xfId="1" applyFont="1" applyFill="1" applyBorder="1" applyProtection="1"/>
    <xf numFmtId="44" fontId="1" fillId="0" borderId="0" xfId="1" quotePrefix="1" applyFont="1" applyFill="1" applyBorder="1" applyAlignment="1" applyProtection="1">
      <alignment horizontal="right"/>
    </xf>
    <xf numFmtId="44" fontId="1" fillId="0" borderId="0" xfId="1" applyFont="1" applyFill="1" applyAlignment="1" applyProtection="1">
      <alignment horizontal="left"/>
    </xf>
    <xf numFmtId="44" fontId="1" fillId="0" borderId="9" xfId="1" quotePrefix="1" applyFont="1" applyFill="1" applyBorder="1" applyAlignment="1" applyProtection="1">
      <alignment horizontal="right"/>
    </xf>
    <xf numFmtId="44" fontId="1" fillId="0" borderId="9" xfId="1" applyFont="1" applyFill="1" applyBorder="1" applyAlignment="1" applyProtection="1">
      <alignment horizontal="left"/>
    </xf>
    <xf numFmtId="3" fontId="0" fillId="0" borderId="0" xfId="0" applyNumberFormat="1" applyFill="1" applyProtection="1"/>
    <xf numFmtId="44" fontId="1" fillId="0" borderId="0" xfId="1" applyFill="1" applyProtection="1"/>
    <xf numFmtId="3" fontId="0" fillId="0" borderId="0" xfId="0" applyNumberFormat="1" applyProtection="1"/>
    <xf numFmtId="44" fontId="1" fillId="0" borderId="0" xfId="1" applyProtection="1"/>
    <xf numFmtId="10" fontId="3" fillId="0" borderId="0" xfId="1" quotePrefix="1" applyNumberFormat="1" applyFont="1" applyFill="1" applyBorder="1" applyAlignment="1" applyProtection="1"/>
    <xf numFmtId="6" fontId="3" fillId="0" borderId="34" xfId="0" applyNumberFormat="1" applyFont="1" applyFill="1" applyBorder="1" applyAlignment="1" applyProtection="1">
      <alignment horizontal="left"/>
    </xf>
    <xf numFmtId="44" fontId="3" fillId="0" borderId="9" xfId="1" applyFont="1" applyFill="1" applyBorder="1" applyProtection="1"/>
    <xf numFmtId="10" fontId="3" fillId="0" borderId="9" xfId="1" quotePrefix="1" applyNumberFormat="1" applyFont="1" applyFill="1" applyBorder="1" applyAlignment="1" applyProtection="1"/>
    <xf numFmtId="6" fontId="3" fillId="0" borderId="35" xfId="0" applyNumberFormat="1" applyFont="1" applyFill="1" applyBorder="1" applyAlignment="1" applyProtection="1">
      <alignment horizontal="left"/>
    </xf>
    <xf numFmtId="0" fontId="3" fillId="0" borderId="3" xfId="0" applyFont="1" applyFill="1" applyBorder="1" applyAlignment="1" applyProtection="1">
      <alignment horizontal="left"/>
    </xf>
    <xf numFmtId="0" fontId="3" fillId="0" borderId="4" xfId="0" applyFont="1" applyFill="1" applyBorder="1" applyProtection="1"/>
    <xf numFmtId="0" fontId="7" fillId="0" borderId="7" xfId="0" applyFont="1" applyFill="1" applyBorder="1" applyAlignment="1" applyProtection="1">
      <alignment horizontal="center" vertical="top" wrapText="1"/>
    </xf>
    <xf numFmtId="0" fontId="3" fillId="0" borderId="34" xfId="0" applyFont="1" applyFill="1" applyBorder="1" applyProtection="1"/>
    <xf numFmtId="0" fontId="3" fillId="0" borderId="7" xfId="0" applyFont="1" applyFill="1" applyBorder="1" applyAlignment="1" applyProtection="1">
      <alignment horizontal="left" vertical="top" wrapText="1"/>
    </xf>
    <xf numFmtId="10" fontId="1" fillId="0" borderId="0" xfId="1" applyNumberFormat="1" applyFont="1" applyFill="1" applyBorder="1" applyAlignment="1" applyProtection="1"/>
    <xf numFmtId="6" fontId="3" fillId="0" borderId="34" xfId="0" applyNumberFormat="1" applyFont="1" applyFill="1" applyBorder="1" applyAlignment="1" applyProtection="1">
      <alignment horizontal="justify" vertical="top" wrapText="1"/>
    </xf>
    <xf numFmtId="10" fontId="1" fillId="0" borderId="0" xfId="1" quotePrefix="1" applyNumberFormat="1" applyFont="1" applyFill="1" applyBorder="1" applyAlignment="1" applyProtection="1"/>
    <xf numFmtId="0" fontId="3" fillId="0" borderId="8" xfId="0" applyFont="1" applyFill="1" applyBorder="1" applyAlignment="1" applyProtection="1">
      <alignment horizontal="left" vertical="top" wrapText="1"/>
    </xf>
    <xf numFmtId="44" fontId="1" fillId="0" borderId="9" xfId="1" applyFont="1" applyFill="1" applyBorder="1" applyProtection="1"/>
    <xf numFmtId="10" fontId="1" fillId="0" borderId="9" xfId="1" quotePrefix="1" applyNumberFormat="1" applyFont="1" applyFill="1" applyBorder="1" applyAlignment="1" applyProtection="1"/>
    <xf numFmtId="6" fontId="3" fillId="0" borderId="35" xfId="0" applyNumberFormat="1" applyFont="1" applyFill="1" applyBorder="1" applyAlignment="1" applyProtection="1">
      <alignment horizontal="justify" vertical="top" wrapText="1"/>
    </xf>
    <xf numFmtId="0" fontId="1" fillId="0" borderId="0" xfId="0" applyFont="1" applyFill="1" applyBorder="1" applyAlignment="1" applyProtection="1">
      <alignment horizontal="left" vertical="top" wrapText="1"/>
    </xf>
    <xf numFmtId="0" fontId="8" fillId="0" borderId="0" xfId="0" applyFont="1" applyAlignment="1" applyProtection="1">
      <alignment horizontal="center"/>
    </xf>
    <xf numFmtId="0" fontId="4" fillId="0" borderId="0" xfId="0" applyFont="1" applyProtection="1"/>
    <xf numFmtId="0" fontId="2" fillId="0" borderId="0" xfId="0" applyFont="1" applyAlignment="1" applyProtection="1">
      <alignment horizontal="center"/>
    </xf>
    <xf numFmtId="0" fontId="9" fillId="0" borderId="0" xfId="0" applyFont="1" applyFill="1" applyAlignment="1" applyProtection="1">
      <alignment horizontal="center"/>
    </xf>
    <xf numFmtId="0" fontId="4" fillId="0" borderId="50" xfId="0" applyFont="1" applyFill="1" applyBorder="1" applyAlignment="1" applyProtection="1">
      <alignment vertical="top"/>
    </xf>
    <xf numFmtId="10" fontId="0" fillId="0" borderId="0" xfId="1" applyNumberFormat="1" applyFont="1" applyFill="1" applyBorder="1" applyProtection="1"/>
    <xf numFmtId="10" fontId="1" fillId="0" borderId="0" xfId="1" quotePrefix="1" applyNumberFormat="1" applyFont="1" applyFill="1" applyBorder="1" applyAlignment="1" applyProtection="1">
      <alignment horizontal="right"/>
    </xf>
    <xf numFmtId="10" fontId="1" fillId="0" borderId="9" xfId="1" quotePrefix="1" applyNumberFormat="1" applyFont="1" applyFill="1" applyBorder="1" applyAlignment="1" applyProtection="1">
      <alignment horizontal="right"/>
    </xf>
    <xf numFmtId="0" fontId="2" fillId="0" borderId="1" xfId="0" applyFont="1" applyBorder="1" applyAlignment="1" applyProtection="1">
      <alignment horizontal="center"/>
    </xf>
    <xf numFmtId="3" fontId="2" fillId="0" borderId="1" xfId="0" applyNumberFormat="1" applyFont="1" applyBorder="1" applyAlignment="1" applyProtection="1">
      <alignment horizontal="center"/>
    </xf>
    <xf numFmtId="44" fontId="2" fillId="0" borderId="4" xfId="1" applyFont="1" applyBorder="1" applyAlignment="1" applyProtection="1">
      <alignment horizontal="center"/>
    </xf>
    <xf numFmtId="0" fontId="4" fillId="0" borderId="14" xfId="0" applyFont="1" applyBorder="1" applyProtection="1"/>
    <xf numFmtId="44" fontId="1" fillId="0" borderId="21" xfId="1" applyFont="1" applyBorder="1" applyProtection="1"/>
    <xf numFmtId="44" fontId="3" fillId="0" borderId="0" xfId="0" applyNumberFormat="1" applyFont="1" applyProtection="1"/>
    <xf numFmtId="0" fontId="0" fillId="0" borderId="0" xfId="0" applyBorder="1" applyProtection="1"/>
    <xf numFmtId="0" fontId="3" fillId="0" borderId="7" xfId="0" applyFont="1" applyBorder="1" applyProtection="1"/>
    <xf numFmtId="3" fontId="3" fillId="0" borderId="0" xfId="1" applyNumberFormat="1" applyFont="1" applyBorder="1" applyProtection="1"/>
    <xf numFmtId="44" fontId="1" fillId="0" borderId="0" xfId="1" applyFont="1" applyBorder="1" applyProtection="1"/>
    <xf numFmtId="0" fontId="1" fillId="0" borderId="0" xfId="4" applyFont="1" applyBorder="1" applyProtection="1"/>
    <xf numFmtId="44" fontId="3" fillId="0" borderId="34" xfId="0" applyNumberFormat="1" applyFont="1" applyBorder="1" applyProtection="1"/>
    <xf numFmtId="44" fontId="1" fillId="0" borderId="27" xfId="1" applyFont="1" applyBorder="1" applyProtection="1"/>
    <xf numFmtId="0" fontId="3" fillId="0" borderId="58" xfId="0" applyFont="1" applyBorder="1" applyProtection="1"/>
    <xf numFmtId="3" fontId="3" fillId="0" borderId="27" xfId="1" applyNumberFormat="1" applyFont="1" applyBorder="1" applyProtection="1"/>
    <xf numFmtId="0" fontId="1" fillId="0" borderId="27" xfId="4" applyFont="1" applyBorder="1" applyProtection="1"/>
    <xf numFmtId="44" fontId="3" fillId="0" borderId="59" xfId="0" applyNumberFormat="1" applyFont="1" applyBorder="1" applyProtection="1"/>
    <xf numFmtId="3" fontId="3" fillId="0" borderId="19" xfId="1" applyNumberFormat="1" applyFont="1" applyBorder="1" applyProtection="1"/>
    <xf numFmtId="44" fontId="1" fillId="0" borderId="19" xfId="1" applyFont="1" applyBorder="1" applyProtection="1"/>
    <xf numFmtId="0" fontId="1" fillId="0" borderId="19" xfId="4" applyFont="1" applyBorder="1" applyProtection="1"/>
    <xf numFmtId="44" fontId="3" fillId="0" borderId="56" xfId="0" applyNumberFormat="1" applyFont="1" applyBorder="1" applyProtection="1"/>
    <xf numFmtId="44" fontId="1" fillId="0" borderId="18" xfId="1" applyFont="1" applyBorder="1" applyProtection="1"/>
    <xf numFmtId="44" fontId="3" fillId="0" borderId="16" xfId="1" applyFont="1" applyBorder="1" applyProtection="1"/>
    <xf numFmtId="0" fontId="0" fillId="0" borderId="7" xfId="0" applyBorder="1" applyProtection="1"/>
    <xf numFmtId="3" fontId="0" fillId="0" borderId="0" xfId="0" applyNumberFormat="1" applyBorder="1" applyProtection="1"/>
    <xf numFmtId="44" fontId="1" fillId="0" borderId="0" xfId="1" applyBorder="1" applyProtection="1"/>
    <xf numFmtId="0" fontId="1" fillId="0" borderId="0" xfId="4" applyBorder="1" applyProtection="1"/>
    <xf numFmtId="0" fontId="0" fillId="0" borderId="34" xfId="0" applyBorder="1" applyProtection="1"/>
    <xf numFmtId="3" fontId="3" fillId="0" borderId="11" xfId="1" applyNumberFormat="1" applyFont="1" applyBorder="1" applyProtection="1"/>
    <xf numFmtId="44" fontId="3" fillId="0" borderId="18" xfId="1" applyFont="1" applyBorder="1" applyProtection="1"/>
    <xf numFmtId="44" fontId="3" fillId="0" borderId="13" xfId="0" applyNumberFormat="1" applyFont="1" applyBorder="1" applyProtection="1"/>
    <xf numFmtId="0" fontId="1" fillId="0" borderId="21" xfId="4" applyFont="1" applyBorder="1" applyProtection="1"/>
    <xf numFmtId="3" fontId="3" fillId="2" borderId="2" xfId="1" applyNumberFormat="1" applyFont="1" applyFill="1" applyBorder="1" applyProtection="1"/>
    <xf numFmtId="3" fontId="3" fillId="2" borderId="32" xfId="1" applyNumberFormat="1" applyFont="1" applyFill="1" applyBorder="1" applyProtection="1"/>
    <xf numFmtId="44" fontId="3" fillId="0" borderId="26" xfId="1" applyFont="1" applyBorder="1" applyProtection="1"/>
    <xf numFmtId="3" fontId="3" fillId="0" borderId="0" xfId="1" applyNumberFormat="1" applyFont="1" applyFill="1" applyBorder="1" applyProtection="1"/>
    <xf numFmtId="44" fontId="3" fillId="0" borderId="34" xfId="0" applyNumberFormat="1" applyFont="1" applyFill="1" applyBorder="1" applyProtection="1"/>
    <xf numFmtId="0" fontId="3" fillId="0" borderId="22" xfId="0" applyFont="1" applyBorder="1" applyProtection="1"/>
    <xf numFmtId="44" fontId="1" fillId="0" borderId="36" xfId="1" applyFont="1" applyBorder="1" applyProtection="1"/>
    <xf numFmtId="44" fontId="1" fillId="0" borderId="23" xfId="1" applyFont="1" applyBorder="1" applyProtection="1"/>
    <xf numFmtId="0" fontId="0" fillId="0" borderId="41" xfId="0" applyBorder="1" applyAlignment="1" applyProtection="1"/>
    <xf numFmtId="0" fontId="4" fillId="0" borderId="46" xfId="0" applyFont="1" applyBorder="1" applyAlignment="1" applyProtection="1"/>
    <xf numFmtId="0" fontId="4" fillId="0" borderId="33" xfId="0" applyFont="1" applyBorder="1" applyAlignment="1" applyProtection="1">
      <alignment horizontal="right"/>
    </xf>
    <xf numFmtId="0" fontId="4" fillId="0" borderId="35" xfId="0" applyFont="1" applyBorder="1" applyAlignment="1" applyProtection="1">
      <alignment horizontal="right"/>
    </xf>
    <xf numFmtId="0" fontId="3" fillId="0" borderId="2" xfId="0" applyFont="1" applyBorder="1" applyProtection="1"/>
    <xf numFmtId="164" fontId="3" fillId="0" borderId="2" xfId="0" applyNumberFormat="1" applyFont="1" applyBorder="1" applyProtection="1"/>
    <xf numFmtId="164" fontId="3" fillId="0" borderId="15" xfId="0" applyNumberFormat="1" applyFont="1" applyBorder="1" applyProtection="1"/>
    <xf numFmtId="0" fontId="3" fillId="0" borderId="55" xfId="0" applyFont="1" applyBorder="1" applyProtection="1"/>
    <xf numFmtId="6" fontId="3" fillId="0" borderId="0" xfId="1" applyNumberFormat="1" applyFont="1" applyBorder="1" applyProtection="1"/>
    <xf numFmtId="44" fontId="0" fillId="0" borderId="34" xfId="0" applyNumberFormat="1" applyBorder="1" applyProtection="1"/>
    <xf numFmtId="44" fontId="3" fillId="0" borderId="15" xfId="0" applyNumberFormat="1" applyFont="1" applyBorder="1" applyProtection="1"/>
    <xf numFmtId="0" fontId="4" fillId="0" borderId="0" xfId="0" applyFont="1" applyFill="1" applyBorder="1" applyAlignment="1" applyProtection="1">
      <alignment horizontal="right"/>
    </xf>
    <xf numFmtId="0" fontId="4" fillId="0" borderId="9" xfId="0" applyFont="1" applyBorder="1" applyAlignment="1" applyProtection="1">
      <alignment horizontal="right"/>
    </xf>
    <xf numFmtId="44" fontId="0" fillId="0" borderId="0" xfId="0" applyNumberFormat="1" applyFill="1" applyBorder="1" applyProtection="1"/>
    <xf numFmtId="44" fontId="4" fillId="0" borderId="3" xfId="1" applyFont="1" applyBorder="1" applyProtection="1"/>
    <xf numFmtId="44" fontId="4" fillId="0" borderId="33" xfId="1" applyFont="1" applyBorder="1" applyProtection="1"/>
    <xf numFmtId="0" fontId="3" fillId="0" borderId="1" xfId="0" applyFont="1" applyBorder="1" applyAlignment="1" applyProtection="1">
      <alignment horizontal="right"/>
    </xf>
    <xf numFmtId="0" fontId="3" fillId="0" borderId="1" xfId="0" applyFont="1" applyFill="1" applyBorder="1" applyAlignment="1" applyProtection="1">
      <alignment horizontal="right"/>
    </xf>
    <xf numFmtId="9" fontId="3" fillId="0" borderId="0" xfId="2" applyFont="1" applyBorder="1" applyProtection="1"/>
    <xf numFmtId="0" fontId="3" fillId="0" borderId="7" xfId="0" applyFont="1" applyFill="1" applyBorder="1" applyAlignment="1" applyProtection="1">
      <alignment horizontal="right"/>
    </xf>
    <xf numFmtId="3" fontId="0" fillId="0" borderId="0" xfId="0" applyNumberFormat="1" applyFill="1" applyBorder="1" applyAlignment="1" applyProtection="1">
      <alignment horizontal="center"/>
    </xf>
    <xf numFmtId="44" fontId="3" fillId="0" borderId="7" xfId="0" applyNumberFormat="1" applyFont="1" applyFill="1" applyBorder="1" applyProtection="1"/>
    <xf numFmtId="0" fontId="3" fillId="0" borderId="7" xfId="0" applyFont="1" applyFill="1" applyBorder="1" applyProtection="1"/>
    <xf numFmtId="44" fontId="0" fillId="0" borderId="0" xfId="0" applyNumberFormat="1" applyProtection="1"/>
    <xf numFmtId="0" fontId="3" fillId="0" borderId="8" xfId="0" applyFont="1" applyBorder="1" applyProtection="1"/>
    <xf numFmtId="3" fontId="3" fillId="0" borderId="9" xfId="0" applyNumberFormat="1" applyFont="1" applyBorder="1" applyProtection="1"/>
    <xf numFmtId="44" fontId="3" fillId="0" borderId="9" xfId="1" applyFont="1" applyBorder="1" applyProtection="1"/>
    <xf numFmtId="44" fontId="3" fillId="0" borderId="9" xfId="1" applyFont="1" applyBorder="1" applyAlignment="1" applyProtection="1">
      <alignment horizontal="right"/>
    </xf>
    <xf numFmtId="0" fontId="3" fillId="0" borderId="9" xfId="0" applyFont="1" applyFill="1" applyBorder="1" applyProtection="1"/>
    <xf numFmtId="44" fontId="3" fillId="0" borderId="35" xfId="0" applyNumberFormat="1" applyFont="1" applyBorder="1" applyAlignment="1" applyProtection="1">
      <alignment horizontal="right"/>
    </xf>
    <xf numFmtId="44" fontId="1" fillId="0" borderId="2" xfId="4" applyNumberFormat="1" applyBorder="1" applyProtection="1"/>
    <xf numFmtId="0" fontId="3" fillId="0" borderId="9" xfId="0" applyFont="1" applyBorder="1" applyAlignment="1" applyProtection="1">
      <alignment horizontal="right"/>
    </xf>
    <xf numFmtId="0" fontId="0" fillId="0" borderId="9" xfId="0" applyBorder="1" applyProtection="1"/>
    <xf numFmtId="0" fontId="3" fillId="0" borderId="0" xfId="0" applyFont="1" applyBorder="1" applyAlignment="1" applyProtection="1">
      <alignment horizontal="center"/>
    </xf>
    <xf numFmtId="0" fontId="4" fillId="0" borderId="7" xfId="0" applyFont="1" applyFill="1" applyBorder="1" applyAlignment="1" applyProtection="1">
      <alignment horizontal="center"/>
    </xf>
    <xf numFmtId="0" fontId="4" fillId="0" borderId="0" xfId="0" applyFont="1" applyFill="1" applyBorder="1" applyAlignment="1" applyProtection="1">
      <alignment horizontal="center"/>
    </xf>
    <xf numFmtId="3" fontId="0" fillId="4" borderId="19" xfId="0" applyNumberFormat="1" applyFill="1" applyBorder="1" applyAlignment="1" applyProtection="1">
      <alignment horizontal="center"/>
    </xf>
    <xf numFmtId="0" fontId="3" fillId="0" borderId="7" xfId="0" applyFont="1" applyBorder="1" applyAlignment="1" applyProtection="1">
      <alignment horizontal="right" wrapText="1"/>
    </xf>
    <xf numFmtId="0" fontId="0" fillId="0" borderId="0" xfId="0" applyBorder="1" applyAlignment="1" applyProtection="1"/>
    <xf numFmtId="0" fontId="0" fillId="0" borderId="29" xfId="0" applyBorder="1" applyAlignment="1" applyProtection="1"/>
    <xf numFmtId="44" fontId="1" fillId="0" borderId="9" xfId="1" applyBorder="1" applyProtection="1"/>
    <xf numFmtId="0" fontId="0" fillId="0" borderId="41" xfId="0" applyFill="1" applyBorder="1" applyAlignment="1" applyProtection="1"/>
    <xf numFmtId="0" fontId="3" fillId="0" borderId="41" xfId="0" applyFont="1" applyFill="1" applyBorder="1" applyAlignment="1" applyProtection="1"/>
    <xf numFmtId="0" fontId="3" fillId="0" borderId="0" xfId="0" applyFont="1" applyFill="1" applyBorder="1" applyAlignment="1" applyProtection="1"/>
    <xf numFmtId="0" fontId="0" fillId="0" borderId="7" xfId="0" applyFill="1" applyBorder="1" applyProtection="1"/>
    <xf numFmtId="3" fontId="0" fillId="0" borderId="0" xfId="0" applyNumberFormat="1" applyFill="1" applyBorder="1" applyProtection="1"/>
    <xf numFmtId="44" fontId="1" fillId="0" borderId="0" xfId="1" applyFill="1" applyBorder="1" applyProtection="1"/>
    <xf numFmtId="0" fontId="0" fillId="0" borderId="34" xfId="0" applyFill="1" applyBorder="1" applyProtection="1"/>
    <xf numFmtId="0" fontId="0" fillId="0" borderId="3" xfId="0" applyFill="1" applyBorder="1" applyAlignment="1" applyProtection="1">
      <alignment horizontal="left"/>
    </xf>
    <xf numFmtId="3" fontId="0" fillId="0" borderId="33" xfId="0" applyNumberFormat="1" applyFill="1" applyBorder="1" applyAlignment="1" applyProtection="1">
      <alignment horizontal="center"/>
    </xf>
    <xf numFmtId="44" fontId="0" fillId="0" borderId="33" xfId="1" applyFont="1" applyFill="1" applyBorder="1" applyProtection="1"/>
    <xf numFmtId="0" fontId="0" fillId="0" borderId="4" xfId="0" applyFill="1" applyBorder="1" applyProtection="1"/>
    <xf numFmtId="0" fontId="10" fillId="0" borderId="7" xfId="0" applyFont="1" applyFill="1" applyBorder="1" applyAlignment="1" applyProtection="1">
      <alignment horizontal="center" vertical="top" wrapText="1"/>
    </xf>
    <xf numFmtId="0" fontId="10" fillId="0" borderId="0" xfId="0" applyFont="1" applyFill="1" applyBorder="1" applyAlignment="1" applyProtection="1">
      <alignment horizontal="center" vertical="top"/>
    </xf>
    <xf numFmtId="44" fontId="0" fillId="0" borderId="0" xfId="1" applyFont="1" applyFill="1" applyBorder="1" applyProtection="1"/>
    <xf numFmtId="0" fontId="11" fillId="0" borderId="7" xfId="0" applyFont="1" applyFill="1" applyBorder="1" applyAlignment="1" applyProtection="1">
      <alignment horizontal="left" vertical="top" wrapText="1" indent="8"/>
    </xf>
    <xf numFmtId="6" fontId="11" fillId="0" borderId="0" xfId="0" applyNumberFormat="1" applyFont="1" applyFill="1" applyBorder="1" applyAlignment="1" applyProtection="1">
      <alignment horizontal="left"/>
    </xf>
    <xf numFmtId="6" fontId="11" fillId="0" borderId="34" xfId="0" applyNumberFormat="1" applyFont="1" applyFill="1" applyBorder="1" applyAlignment="1" applyProtection="1">
      <alignment horizontal="left"/>
    </xf>
    <xf numFmtId="0" fontId="11" fillId="0" borderId="8" xfId="0" applyFont="1" applyFill="1" applyBorder="1" applyAlignment="1" applyProtection="1">
      <alignment horizontal="left" vertical="top" wrapText="1" indent="8"/>
    </xf>
    <xf numFmtId="6" fontId="11" fillId="0" borderId="9" xfId="0" applyNumberFormat="1" applyFont="1" applyFill="1" applyBorder="1" applyAlignment="1" applyProtection="1">
      <alignment horizontal="justify" vertical="top" wrapText="1"/>
    </xf>
    <xf numFmtId="6" fontId="11" fillId="0" borderId="35" xfId="0" applyNumberFormat="1" applyFont="1" applyFill="1" applyBorder="1" applyAlignment="1" applyProtection="1">
      <alignment horizontal="justify" vertical="top" wrapText="1"/>
    </xf>
    <xf numFmtId="6" fontId="11" fillId="0" borderId="0" xfId="0" applyNumberFormat="1" applyFont="1" applyFill="1" applyBorder="1" applyAlignment="1" applyProtection="1">
      <alignment horizontal="justify" vertical="top" wrapText="1"/>
    </xf>
    <xf numFmtId="6" fontId="11" fillId="0" borderId="34" xfId="0" applyNumberFormat="1" applyFont="1" applyFill="1" applyBorder="1" applyAlignment="1" applyProtection="1">
      <alignment horizontal="justify" vertical="top" wrapText="1"/>
    </xf>
    <xf numFmtId="0" fontId="3" fillId="0" borderId="35" xfId="0" applyFont="1" applyFill="1" applyBorder="1" applyProtection="1"/>
    <xf numFmtId="3" fontId="4" fillId="0" borderId="0" xfId="0" applyNumberFormat="1" applyFont="1" applyFill="1" applyProtection="1"/>
    <xf numFmtId="0" fontId="3" fillId="0" borderId="0" xfId="0" applyFont="1" applyFill="1" applyBorder="1" applyAlignment="1" applyProtection="1">
      <alignment vertical="top" wrapText="1"/>
    </xf>
    <xf numFmtId="0" fontId="3" fillId="0" borderId="14" xfId="0" applyFont="1" applyBorder="1" applyAlignment="1" applyProtection="1">
      <alignment horizontal="left" vertical="center"/>
    </xf>
    <xf numFmtId="44" fontId="1" fillId="0" borderId="2" xfId="1" applyFont="1" applyFill="1" applyBorder="1" applyProtection="1"/>
    <xf numFmtId="0" fontId="3" fillId="0" borderId="2" xfId="0" applyFont="1" applyFill="1" applyBorder="1" applyProtection="1"/>
    <xf numFmtId="44" fontId="1" fillId="0" borderId="2" xfId="4" applyNumberFormat="1" applyFont="1" applyFill="1" applyBorder="1" applyProtection="1"/>
    <xf numFmtId="44" fontId="1" fillId="0" borderId="2" xfId="1" applyNumberFormat="1" applyFont="1" applyFill="1" applyBorder="1" applyProtection="1"/>
    <xf numFmtId="0" fontId="3" fillId="0" borderId="14" xfId="0" applyFont="1" applyFill="1" applyBorder="1" applyProtection="1"/>
    <xf numFmtId="44" fontId="1" fillId="0" borderId="0" xfId="4" applyNumberFormat="1" applyFont="1" applyBorder="1" applyProtection="1"/>
    <xf numFmtId="44" fontId="1" fillId="0" borderId="0" xfId="4" applyNumberFormat="1" applyFont="1" applyFill="1" applyBorder="1" applyProtection="1"/>
    <xf numFmtId="44" fontId="1" fillId="0" borderId="40" xfId="1" applyFont="1" applyFill="1" applyBorder="1" applyProtection="1"/>
    <xf numFmtId="44" fontId="1" fillId="0" borderId="40" xfId="4" applyNumberFormat="1" applyFont="1" applyFill="1" applyBorder="1" applyProtection="1"/>
    <xf numFmtId="8" fontId="11" fillId="0" borderId="0" xfId="0" applyNumberFormat="1" applyFont="1" applyFill="1" applyBorder="1" applyAlignment="1" applyProtection="1"/>
    <xf numFmtId="10" fontId="11" fillId="0" borderId="0" xfId="2" applyNumberFormat="1" applyFont="1" applyFill="1" applyBorder="1" applyProtection="1"/>
    <xf numFmtId="8" fontId="11" fillId="0" borderId="0" xfId="0" applyNumberFormat="1" applyFont="1" applyFill="1" applyBorder="1" applyProtection="1"/>
    <xf numFmtId="10" fontId="11" fillId="0" borderId="0" xfId="2" applyNumberFormat="1" applyFont="1" applyFill="1" applyBorder="1" applyAlignment="1" applyProtection="1"/>
    <xf numFmtId="168" fontId="11" fillId="0" borderId="0" xfId="0" applyNumberFormat="1" applyFont="1" applyFill="1" applyBorder="1" applyProtection="1"/>
    <xf numFmtId="0" fontId="3" fillId="0" borderId="67" xfId="0" applyFont="1" applyBorder="1" applyProtection="1"/>
    <xf numFmtId="0" fontId="3" fillId="0" borderId="68" xfId="0" applyFont="1" applyBorder="1" applyProtection="1"/>
    <xf numFmtId="0" fontId="19" fillId="0" borderId="67" xfId="0" applyFont="1" applyBorder="1" applyProtection="1"/>
    <xf numFmtId="0" fontId="19" fillId="0" borderId="0" xfId="0" applyFont="1" applyBorder="1" applyProtection="1"/>
    <xf numFmtId="0" fontId="11" fillId="0" borderId="0" xfId="0" applyFont="1" applyProtection="1"/>
    <xf numFmtId="0" fontId="11" fillId="0" borderId="0" xfId="0" applyFont="1" applyBorder="1" applyProtection="1"/>
    <xf numFmtId="0" fontId="11" fillId="0" borderId="68" xfId="0" applyFont="1" applyBorder="1" applyProtection="1"/>
    <xf numFmtId="0" fontId="11" fillId="0" borderId="67" xfId="0" applyFont="1" applyBorder="1" applyProtection="1"/>
    <xf numFmtId="0" fontId="12" fillId="0" borderId="0" xfId="0" applyFont="1" applyBorder="1" applyProtection="1"/>
    <xf numFmtId="0" fontId="11" fillId="0" borderId="68" xfId="0" applyFont="1" applyBorder="1" applyAlignment="1" applyProtection="1">
      <alignment horizontal="center"/>
    </xf>
    <xf numFmtId="43" fontId="12" fillId="0" borderId="0" xfId="3" applyFont="1" applyBorder="1" applyProtection="1"/>
    <xf numFmtId="0" fontId="3" fillId="0" borderId="70" xfId="0" applyFont="1" applyBorder="1" applyProtection="1"/>
    <xf numFmtId="0" fontId="3" fillId="0" borderId="69" xfId="0" applyFont="1" applyBorder="1" applyProtection="1"/>
    <xf numFmtId="0" fontId="3" fillId="0" borderId="71" xfId="0" applyFont="1" applyBorder="1" applyProtection="1"/>
    <xf numFmtId="0" fontId="4" fillId="7" borderId="64" xfId="0" applyFont="1" applyFill="1" applyBorder="1" applyAlignment="1" applyProtection="1">
      <alignment horizontal="centerContinuous" vertical="center"/>
    </xf>
    <xf numFmtId="0" fontId="4" fillId="7" borderId="65" xfId="0" applyFont="1" applyFill="1" applyBorder="1" applyAlignment="1" applyProtection="1">
      <alignment horizontal="centerContinuous" vertical="center"/>
    </xf>
    <xf numFmtId="0" fontId="3" fillId="7" borderId="66" xfId="0" applyFont="1" applyFill="1" applyBorder="1" applyAlignment="1" applyProtection="1">
      <alignment horizontal="centerContinuous" vertical="center"/>
    </xf>
    <xf numFmtId="0" fontId="3" fillId="7" borderId="64" xfId="0" applyFont="1" applyFill="1" applyBorder="1" applyAlignment="1" applyProtection="1">
      <alignment horizontal="centerContinuous" vertical="center"/>
    </xf>
    <xf numFmtId="0" fontId="3" fillId="7" borderId="65" xfId="0" applyFont="1" applyFill="1" applyBorder="1" applyAlignment="1" applyProtection="1">
      <alignment horizontal="centerContinuous" vertical="center"/>
    </xf>
    <xf numFmtId="0" fontId="3" fillId="0" borderId="67" xfId="0" applyFont="1" applyBorder="1" applyAlignment="1" applyProtection="1">
      <alignment horizontal="center"/>
    </xf>
    <xf numFmtId="0" fontId="11" fillId="0" borderId="67" xfId="0" applyFont="1" applyBorder="1" applyAlignment="1" applyProtection="1">
      <alignment horizontal="left"/>
    </xf>
    <xf numFmtId="0" fontId="11" fillId="0" borderId="0" xfId="0" applyFont="1" applyBorder="1" applyAlignment="1" applyProtection="1">
      <alignment horizontal="center"/>
    </xf>
    <xf numFmtId="5" fontId="11" fillId="0" borderId="0" xfId="0" applyNumberFormat="1" applyFont="1" applyProtection="1"/>
    <xf numFmtId="167" fontId="11" fillId="0" borderId="0" xfId="3" applyNumberFormat="1" applyFont="1" applyBorder="1" applyAlignment="1" applyProtection="1">
      <alignment horizontal="left"/>
    </xf>
    <xf numFmtId="0" fontId="3" fillId="0" borderId="68" xfId="0" applyFont="1" applyBorder="1" applyAlignment="1" applyProtection="1">
      <alignment horizontal="center"/>
    </xf>
    <xf numFmtId="0" fontId="3" fillId="0" borderId="0" xfId="0" applyFont="1" applyBorder="1" applyAlignment="1" applyProtection="1">
      <alignment horizontal="left"/>
    </xf>
    <xf numFmtId="0" fontId="11" fillId="0" borderId="0" xfId="0" applyFont="1" applyBorder="1" applyAlignment="1" applyProtection="1">
      <alignment horizontal="left"/>
    </xf>
    <xf numFmtId="0" fontId="11" fillId="0" borderId="0" xfId="0" applyFont="1" applyFill="1" applyBorder="1" applyAlignment="1" applyProtection="1">
      <alignment horizontal="center"/>
    </xf>
    <xf numFmtId="0" fontId="11" fillId="0" borderId="0" xfId="0" applyFont="1" applyFill="1" applyBorder="1" applyAlignment="1" applyProtection="1">
      <alignment horizontal="left"/>
    </xf>
    <xf numFmtId="44" fontId="11" fillId="0" borderId="0" xfId="1" applyFont="1" applyBorder="1" applyAlignment="1" applyProtection="1">
      <alignment horizontal="right"/>
    </xf>
    <xf numFmtId="167" fontId="11" fillId="0" borderId="0" xfId="3" applyNumberFormat="1" applyFont="1" applyFill="1" applyBorder="1" applyAlignment="1" applyProtection="1">
      <alignment horizontal="left"/>
    </xf>
    <xf numFmtId="0" fontId="11" fillId="0" borderId="0" xfId="0" quotePrefix="1" applyFont="1" applyBorder="1" applyProtection="1"/>
    <xf numFmtId="5" fontId="12" fillId="0" borderId="0" xfId="1" applyNumberFormat="1" applyFont="1" applyFill="1" applyBorder="1" applyAlignment="1" applyProtection="1">
      <alignment horizontal="right"/>
    </xf>
    <xf numFmtId="0" fontId="12" fillId="0" borderId="68" xfId="0" applyFont="1" applyBorder="1" applyAlignment="1" applyProtection="1">
      <alignment horizontal="left"/>
    </xf>
    <xf numFmtId="0" fontId="12" fillId="0" borderId="0" xfId="0" applyFont="1" applyBorder="1" applyAlignment="1" applyProtection="1">
      <alignment horizontal="left"/>
    </xf>
    <xf numFmtId="0" fontId="3" fillId="0" borderId="68" xfId="0" applyFont="1" applyBorder="1" applyAlignment="1" applyProtection="1">
      <alignment horizontal="right"/>
    </xf>
    <xf numFmtId="0" fontId="3" fillId="0" borderId="72" xfId="0" applyFont="1" applyBorder="1" applyProtection="1"/>
    <xf numFmtId="0" fontId="3" fillId="0" borderId="73" xfId="0" applyFont="1" applyBorder="1" applyProtection="1"/>
    <xf numFmtId="0" fontId="3" fillId="0" borderId="74" xfId="0" applyFont="1" applyBorder="1" applyProtection="1"/>
    <xf numFmtId="0" fontId="4" fillId="0" borderId="0" xfId="0" applyFont="1" applyBorder="1" applyAlignment="1" applyProtection="1">
      <alignment horizontal="center"/>
    </xf>
    <xf numFmtId="0" fontId="10" fillId="0" borderId="67" xfId="0" quotePrefix="1" applyFont="1" applyBorder="1" applyProtection="1"/>
    <xf numFmtId="0" fontId="10" fillId="0" borderId="0" xfId="0" quotePrefix="1" applyFont="1" applyBorder="1" applyProtection="1"/>
    <xf numFmtId="0" fontId="10" fillId="0" borderId="0" xfId="0" applyFont="1" applyBorder="1" applyAlignment="1" applyProtection="1">
      <alignment horizontal="right"/>
    </xf>
    <xf numFmtId="0" fontId="10" fillId="0" borderId="0" xfId="0" applyFont="1" applyBorder="1" applyProtection="1"/>
    <xf numFmtId="0" fontId="11" fillId="0" borderId="0" xfId="0" applyFont="1" applyBorder="1" applyAlignment="1" applyProtection="1"/>
    <xf numFmtId="169" fontId="11" fillId="0" borderId="0" xfId="1" applyNumberFormat="1" applyFont="1" applyBorder="1" applyProtection="1"/>
    <xf numFmtId="0" fontId="11" fillId="0" borderId="0" xfId="0" quotePrefix="1" applyFont="1" applyBorder="1" applyAlignment="1" applyProtection="1">
      <alignment horizontal="right"/>
    </xf>
    <xf numFmtId="0" fontId="11" fillId="0" borderId="73" xfId="0" quotePrefix="1" applyFont="1" applyBorder="1" applyProtection="1"/>
    <xf numFmtId="0" fontId="4" fillId="0" borderId="15" xfId="0" applyFont="1" applyBorder="1" applyProtection="1"/>
    <xf numFmtId="0" fontId="11" fillId="0" borderId="0" xfId="0" applyFont="1" applyBorder="1" applyAlignment="1" applyProtection="1">
      <alignment horizontal="right" vertical="center"/>
    </xf>
    <xf numFmtId="44" fontId="11" fillId="0" borderId="0" xfId="0" applyNumberFormat="1" applyFont="1" applyBorder="1" applyProtection="1"/>
    <xf numFmtId="0" fontId="11" fillId="0" borderId="75" xfId="0" applyFont="1" applyBorder="1" applyProtection="1"/>
    <xf numFmtId="0" fontId="11" fillId="0" borderId="19" xfId="0" applyFont="1" applyBorder="1" applyProtection="1"/>
    <xf numFmtId="0" fontId="3" fillId="0" borderId="76" xfId="0" applyFont="1" applyBorder="1" applyProtection="1"/>
    <xf numFmtId="0" fontId="11" fillId="0" borderId="67" xfId="0" applyFont="1" applyFill="1" applyBorder="1" applyProtection="1"/>
    <xf numFmtId="0" fontId="11" fillId="0" borderId="0" xfId="0" applyFont="1" applyFill="1" applyBorder="1" applyProtection="1"/>
    <xf numFmtId="0" fontId="11" fillId="0" borderId="27" xfId="0" applyFont="1" applyFill="1" applyBorder="1" applyProtection="1"/>
    <xf numFmtId="9" fontId="11" fillId="0" borderId="0" xfId="2" applyFont="1" applyFill="1" applyBorder="1" applyProtection="1"/>
    <xf numFmtId="3" fontId="11" fillId="0" borderId="0" xfId="0" applyNumberFormat="1" applyFont="1" applyBorder="1" applyProtection="1"/>
    <xf numFmtId="0" fontId="11" fillId="0" borderId="70" xfId="0" applyFont="1" applyFill="1" applyBorder="1" applyProtection="1"/>
    <xf numFmtId="0" fontId="11" fillId="0" borderId="69" xfId="0" applyFont="1" applyFill="1" applyBorder="1" applyProtection="1"/>
    <xf numFmtId="0" fontId="3" fillId="0" borderId="69" xfId="0" applyFont="1" applyFill="1" applyBorder="1" applyProtection="1"/>
    <xf numFmtId="0" fontId="3" fillId="0" borderId="0" xfId="0" applyFont="1" applyFill="1" applyBorder="1" applyAlignment="1" applyProtection="1">
      <alignment horizontal="left" wrapText="1"/>
    </xf>
    <xf numFmtId="8" fontId="3" fillId="0" borderId="0" xfId="0" applyNumberFormat="1" applyFont="1" applyFill="1" applyBorder="1" applyAlignment="1" applyProtection="1">
      <alignment horizontal="left"/>
    </xf>
    <xf numFmtId="0" fontId="3" fillId="0" borderId="0" xfId="0" applyFont="1" applyFill="1" applyBorder="1" applyAlignment="1" applyProtection="1">
      <alignment horizontal="left"/>
    </xf>
    <xf numFmtId="0" fontId="3" fillId="0" borderId="7" xfId="0" applyFont="1" applyFill="1" applyBorder="1" applyAlignment="1" applyProtection="1">
      <alignment horizontal="left"/>
    </xf>
    <xf numFmtId="6" fontId="3" fillId="0" borderId="0" xfId="0" quotePrefix="1" applyNumberFormat="1" applyFont="1" applyFill="1" applyBorder="1" applyAlignment="1" applyProtection="1">
      <alignment vertical="top" wrapText="1"/>
    </xf>
    <xf numFmtId="6" fontId="3" fillId="0" borderId="9" xfId="0" quotePrefix="1" applyNumberFormat="1" applyFont="1" applyFill="1" applyBorder="1" applyAlignment="1" applyProtection="1">
      <alignment vertical="top" wrapText="1"/>
    </xf>
    <xf numFmtId="0" fontId="17" fillId="0" borderId="14" xfId="0" applyFont="1" applyBorder="1" applyProtection="1"/>
    <xf numFmtId="0" fontId="3" fillId="0" borderId="14" xfId="0" applyFont="1" applyBorder="1" applyAlignment="1" applyProtection="1">
      <alignment horizontal="left"/>
    </xf>
    <xf numFmtId="8" fontId="1" fillId="0" borderId="15" xfId="1" applyNumberFormat="1" applyFont="1" applyBorder="1" applyProtection="1"/>
    <xf numFmtId="3" fontId="3" fillId="0" borderId="33" xfId="0" applyNumberFormat="1" applyFont="1" applyFill="1" applyBorder="1" applyAlignment="1" applyProtection="1">
      <alignment horizontal="center"/>
    </xf>
    <xf numFmtId="0" fontId="3" fillId="0" borderId="41" xfId="0" applyFont="1" applyFill="1" applyBorder="1" applyProtection="1"/>
    <xf numFmtId="6" fontId="3" fillId="0" borderId="0" xfId="0" applyNumberFormat="1" applyFont="1" applyFill="1" applyBorder="1" applyAlignment="1" applyProtection="1">
      <alignment horizontal="center" vertical="top" wrapText="1"/>
    </xf>
    <xf numFmtId="0" fontId="3" fillId="0" borderId="7" xfId="0" applyFont="1" applyFill="1" applyBorder="1" applyAlignment="1" applyProtection="1">
      <alignment horizontal="center" vertical="top" wrapText="1"/>
    </xf>
    <xf numFmtId="0" fontId="3" fillId="0" borderId="34" xfId="0" applyFont="1" applyFill="1" applyBorder="1" applyAlignment="1" applyProtection="1">
      <alignment horizontal="left"/>
    </xf>
    <xf numFmtId="0" fontId="3" fillId="0" borderId="0" xfId="0" applyFont="1" applyAlignment="1" applyProtection="1">
      <alignment horizontal="left"/>
    </xf>
    <xf numFmtId="6" fontId="3" fillId="0" borderId="0" xfId="0" applyNumberFormat="1" applyFont="1" applyFill="1" applyBorder="1" applyAlignment="1" applyProtection="1">
      <alignment horizontal="justify" vertical="top" wrapText="1"/>
    </xf>
    <xf numFmtId="0" fontId="3" fillId="0" borderId="8" xfId="0" applyFont="1" applyFill="1" applyBorder="1" applyAlignment="1" applyProtection="1">
      <alignment horizontal="center" vertical="top" wrapText="1"/>
    </xf>
    <xf numFmtId="6" fontId="3" fillId="0" borderId="9" xfId="0" applyNumberFormat="1" applyFont="1" applyFill="1" applyBorder="1" applyAlignment="1" applyProtection="1">
      <alignment horizontal="center" vertical="top" wrapText="1"/>
    </xf>
    <xf numFmtId="6" fontId="3" fillId="0" borderId="9" xfId="0" applyNumberFormat="1" applyFont="1" applyFill="1" applyBorder="1" applyAlignment="1" applyProtection="1">
      <alignment horizontal="justify" vertical="top" wrapText="1"/>
    </xf>
    <xf numFmtId="44" fontId="0" fillId="0" borderId="0" xfId="1" applyFont="1" applyBorder="1" applyProtection="1"/>
    <xf numFmtId="44" fontId="0" fillId="0" borderId="0" xfId="1" applyFont="1" applyProtection="1"/>
    <xf numFmtId="164" fontId="3" fillId="0" borderId="29" xfId="0" applyNumberFormat="1" applyFont="1" applyBorder="1" applyProtection="1"/>
    <xf numFmtId="164" fontId="3" fillId="0" borderId="24" xfId="0" applyNumberFormat="1" applyFont="1" applyBorder="1" applyProtection="1"/>
    <xf numFmtId="3" fontId="3" fillId="0" borderId="27" xfId="0" applyNumberFormat="1" applyFont="1" applyBorder="1" applyProtection="1"/>
    <xf numFmtId="0" fontId="4" fillId="0" borderId="6" xfId="0" applyFont="1" applyFill="1" applyBorder="1" applyAlignment="1" applyProtection="1">
      <alignment horizontal="center" vertical="top" wrapText="1"/>
    </xf>
    <xf numFmtId="0" fontId="2" fillId="0" borderId="44" xfId="0" applyFont="1" applyBorder="1" applyAlignment="1" applyProtection="1">
      <alignment horizontal="center"/>
    </xf>
    <xf numFmtId="3" fontId="2" fillId="0" borderId="45" xfId="0" applyNumberFormat="1" applyFont="1" applyBorder="1" applyAlignment="1" applyProtection="1">
      <alignment horizontal="center"/>
    </xf>
    <xf numFmtId="0" fontId="2" fillId="0" borderId="47" xfId="0" applyFont="1" applyBorder="1" applyAlignment="1" applyProtection="1">
      <alignment horizontal="center"/>
    </xf>
    <xf numFmtId="0" fontId="3" fillId="0" borderId="48" xfId="0" applyFont="1" applyBorder="1" applyProtection="1"/>
    <xf numFmtId="44" fontId="0" fillId="0" borderId="33" xfId="0" applyNumberFormat="1" applyBorder="1" applyProtection="1"/>
    <xf numFmtId="0" fontId="3" fillId="0" borderId="33" xfId="0" applyFont="1" applyBorder="1" applyProtection="1"/>
    <xf numFmtId="0" fontId="0" fillId="0" borderId="43" xfId="0" applyBorder="1" applyProtection="1"/>
    <xf numFmtId="0" fontId="0" fillId="0" borderId="19" xfId="0" applyBorder="1" applyProtection="1"/>
    <xf numFmtId="0" fontId="3" fillId="0" borderId="20" xfId="0" applyFont="1" applyBorder="1" applyAlignment="1" applyProtection="1">
      <alignment horizontal="right"/>
    </xf>
    <xf numFmtId="0" fontId="15" fillId="0" borderId="0" xfId="0" applyFont="1" applyAlignment="1" applyProtection="1">
      <alignment horizontal="left"/>
    </xf>
    <xf numFmtId="0" fontId="13" fillId="0" borderId="0" xfId="0" applyFont="1" applyBorder="1" applyAlignment="1" applyProtection="1">
      <alignment horizontal="left"/>
    </xf>
    <xf numFmtId="0" fontId="13" fillId="0" borderId="0" xfId="0" applyFont="1" applyBorder="1" applyProtection="1"/>
    <xf numFmtId="14" fontId="14" fillId="0" borderId="0" xfId="0" applyNumberFormat="1" applyFont="1" applyBorder="1" applyProtection="1"/>
    <xf numFmtId="5" fontId="3" fillId="0" borderId="0" xfId="1" quotePrefix="1" applyNumberFormat="1" applyFont="1" applyFill="1" applyBorder="1" applyProtection="1"/>
    <xf numFmtId="8" fontId="3" fillId="0" borderId="0" xfId="0" applyNumberFormat="1" applyFont="1" applyFill="1" applyBorder="1" applyAlignment="1" applyProtection="1">
      <alignment horizontal="center" vertical="top" wrapText="1"/>
    </xf>
    <xf numFmtId="8" fontId="3" fillId="0" borderId="0" xfId="1" applyNumberFormat="1" applyFont="1" applyFill="1" applyBorder="1" applyAlignment="1" applyProtection="1">
      <alignment horizontal="right"/>
    </xf>
    <xf numFmtId="10" fontId="3" fillId="0" borderId="0" xfId="1" quotePrefix="1" applyNumberFormat="1" applyFont="1" applyFill="1" applyBorder="1" applyProtection="1"/>
    <xf numFmtId="0" fontId="1" fillId="0" borderId="0" xfId="0" applyFont="1" applyFill="1" applyProtection="1"/>
    <xf numFmtId="0" fontId="1" fillId="0" borderId="21" xfId="0" applyFont="1" applyBorder="1" applyProtection="1"/>
    <xf numFmtId="0" fontId="3" fillId="0" borderId="21" xfId="1" quotePrefix="1" applyNumberFormat="1" applyFont="1" applyBorder="1" applyAlignment="1" applyProtection="1">
      <alignment horizontal="center"/>
    </xf>
    <xf numFmtId="44" fontId="1" fillId="0" borderId="6" xfId="1" applyFont="1" applyBorder="1" applyProtection="1"/>
    <xf numFmtId="0" fontId="3" fillId="0" borderId="9" xfId="0" applyFont="1" applyBorder="1" applyProtection="1"/>
    <xf numFmtId="0" fontId="3" fillId="0" borderId="30" xfId="0" applyFont="1" applyBorder="1" applyProtection="1"/>
    <xf numFmtId="44" fontId="3" fillId="0" borderId="31" xfId="0" applyNumberFormat="1" applyFont="1" applyBorder="1" applyProtection="1"/>
    <xf numFmtId="0" fontId="0" fillId="0" borderId="0" xfId="0" applyBorder="1" applyAlignment="1" applyProtection="1">
      <alignment horizontal="right"/>
    </xf>
    <xf numFmtId="0" fontId="6" fillId="0" borderId="0" xfId="0" applyFont="1" applyFill="1" applyBorder="1" applyAlignment="1" applyProtection="1">
      <alignment horizontal="right"/>
    </xf>
    <xf numFmtId="0" fontId="0" fillId="0" borderId="6" xfId="0" applyBorder="1" applyProtection="1"/>
    <xf numFmtId="44" fontId="0" fillId="0" borderId="6" xfId="0" applyNumberFormat="1" applyBorder="1" applyAlignment="1" applyProtection="1">
      <alignment horizontal="right"/>
    </xf>
    <xf numFmtId="0" fontId="3" fillId="0" borderId="52" xfId="0" applyFont="1" applyFill="1" applyBorder="1" applyProtection="1"/>
    <xf numFmtId="0" fontId="3" fillId="0" borderId="30" xfId="0" applyFont="1" applyFill="1" applyBorder="1" applyProtection="1"/>
    <xf numFmtId="44" fontId="1" fillId="0" borderId="0" xfId="1" quotePrefix="1" applyFont="1" applyFill="1" applyAlignment="1" applyProtection="1">
      <alignment horizontal="right"/>
    </xf>
    <xf numFmtId="165" fontId="3" fillId="0" borderId="0" xfId="1" applyNumberFormat="1" applyFont="1" applyFill="1" applyBorder="1" applyProtection="1"/>
    <xf numFmtId="3" fontId="3" fillId="0" borderId="34" xfId="0" applyNumberFormat="1" applyFont="1" applyFill="1" applyBorder="1" applyProtection="1"/>
    <xf numFmtId="166" fontId="3" fillId="0" borderId="9" xfId="0" applyNumberFormat="1" applyFont="1" applyFill="1" applyBorder="1" applyAlignment="1" applyProtection="1">
      <alignment horizontal="center" vertical="top" wrapText="1"/>
    </xf>
    <xf numFmtId="44" fontId="3" fillId="0" borderId="9" xfId="1" quotePrefix="1" applyFont="1" applyFill="1" applyBorder="1" applyProtection="1"/>
    <xf numFmtId="165" fontId="3" fillId="0" borderId="9" xfId="1" applyNumberFormat="1" applyFont="1" applyFill="1" applyBorder="1" applyProtection="1"/>
    <xf numFmtId="0" fontId="3" fillId="0" borderId="3" xfId="0" applyFont="1" applyFill="1" applyBorder="1" applyAlignment="1" applyProtection="1">
      <alignment vertical="top" wrapText="1"/>
    </xf>
    <xf numFmtId="44" fontId="3" fillId="0" borderId="33" xfId="1" quotePrefix="1" applyFont="1" applyFill="1" applyBorder="1" applyProtection="1"/>
    <xf numFmtId="166" fontId="3" fillId="0" borderId="0" xfId="0" applyNumberFormat="1" applyFont="1" applyFill="1" applyBorder="1" applyAlignment="1" applyProtection="1">
      <alignment horizontal="center" vertical="top" wrapText="1"/>
    </xf>
    <xf numFmtId="44" fontId="3" fillId="0" borderId="0" xfId="1" quotePrefix="1" applyFont="1" applyFill="1" applyBorder="1" applyProtection="1"/>
    <xf numFmtId="44" fontId="3" fillId="0" borderId="0" xfId="1" applyFont="1" applyFill="1" applyBorder="1" applyAlignment="1" applyProtection="1">
      <alignment horizontal="right"/>
    </xf>
    <xf numFmtId="44" fontId="0" fillId="0" borderId="49" xfId="0" applyNumberFormat="1" applyFill="1" applyBorder="1" applyAlignment="1" applyProtection="1">
      <alignment horizontal="right"/>
    </xf>
    <xf numFmtId="3" fontId="3" fillId="0" borderId="0" xfId="0" applyNumberFormat="1" applyFont="1" applyFill="1" applyBorder="1" applyAlignment="1" applyProtection="1">
      <alignment horizontal="center"/>
    </xf>
    <xf numFmtId="44" fontId="0" fillId="0" borderId="7" xfId="0" applyNumberFormat="1" applyFill="1" applyBorder="1" applyAlignment="1" applyProtection="1">
      <alignment horizontal="right"/>
    </xf>
    <xf numFmtId="0" fontId="0" fillId="0" borderId="7" xfId="0" applyFill="1" applyBorder="1" applyAlignment="1" applyProtection="1"/>
    <xf numFmtId="0" fontId="3" fillId="0" borderId="50" xfId="0" applyFont="1" applyFill="1" applyBorder="1" applyAlignment="1" applyProtection="1">
      <alignment horizontal="left"/>
    </xf>
    <xf numFmtId="3" fontId="3" fillId="0" borderId="41" xfId="0" applyNumberFormat="1" applyFont="1" applyFill="1" applyBorder="1" applyAlignment="1" applyProtection="1">
      <alignment horizontal="center"/>
    </xf>
    <xf numFmtId="44" fontId="3" fillId="0" borderId="41" xfId="1" applyFont="1" applyFill="1" applyBorder="1" applyProtection="1"/>
    <xf numFmtId="0" fontId="3" fillId="0" borderId="51" xfId="0" applyFont="1" applyFill="1" applyBorder="1" applyProtection="1"/>
    <xf numFmtId="0" fontId="0" fillId="0" borderId="7" xfId="0" applyFill="1" applyBorder="1" applyAlignment="1" applyProtection="1">
      <alignment wrapText="1"/>
    </xf>
    <xf numFmtId="44" fontId="1" fillId="0" borderId="9" xfId="1" applyFill="1" applyBorder="1" applyProtection="1"/>
    <xf numFmtId="0" fontId="0" fillId="0" borderId="9" xfId="0" applyFill="1" applyBorder="1" applyProtection="1"/>
    <xf numFmtId="0" fontId="0" fillId="0" borderId="35" xfId="0" applyFill="1" applyBorder="1" applyProtection="1"/>
    <xf numFmtId="3" fontId="3" fillId="4" borderId="46" xfId="0" applyNumberFormat="1" applyFont="1" applyFill="1" applyBorder="1" applyProtection="1">
      <protection locked="0"/>
    </xf>
    <xf numFmtId="0" fontId="0" fillId="0" borderId="34" xfId="0" applyFill="1" applyBorder="1" applyAlignment="1" applyProtection="1">
      <alignment wrapText="1"/>
    </xf>
    <xf numFmtId="0" fontId="3" fillId="0" borderId="50" xfId="0" applyFont="1" applyFill="1" applyBorder="1" applyAlignment="1" applyProtection="1">
      <alignment vertical="top" wrapText="1"/>
    </xf>
    <xf numFmtId="166" fontId="3" fillId="0" borderId="41" xfId="0" applyNumberFormat="1" applyFont="1" applyFill="1" applyBorder="1" applyAlignment="1" applyProtection="1">
      <alignment horizontal="center" vertical="top" wrapText="1"/>
    </xf>
    <xf numFmtId="44" fontId="3" fillId="0" borderId="41" xfId="1" quotePrefix="1" applyFont="1" applyFill="1" applyBorder="1" applyProtection="1"/>
    <xf numFmtId="0" fontId="0" fillId="0" borderId="0" xfId="0" applyFill="1" applyBorder="1" applyAlignment="1" applyProtection="1">
      <alignment wrapText="1"/>
    </xf>
    <xf numFmtId="0" fontId="1" fillId="0" borderId="0" xfId="0" applyFont="1" applyFill="1" applyBorder="1" applyAlignment="1" applyProtection="1">
      <alignment horizontal="left" vertical="top"/>
    </xf>
    <xf numFmtId="0" fontId="4" fillId="0" borderId="9" xfId="0" applyFont="1" applyBorder="1" applyAlignment="1" applyProtection="1">
      <alignment horizontal="right"/>
    </xf>
    <xf numFmtId="38" fontId="3" fillId="0" borderId="1" xfId="0" applyNumberFormat="1" applyFont="1" applyFill="1" applyBorder="1" applyAlignment="1" applyProtection="1">
      <alignment horizontal="center" vertical="top" wrapText="1"/>
      <protection locked="0"/>
    </xf>
    <xf numFmtId="3" fontId="0" fillId="0" borderId="1" xfId="0" applyNumberFormat="1" applyFill="1" applyBorder="1" applyAlignment="1" applyProtection="1">
      <alignment horizontal="center"/>
      <protection locked="0"/>
    </xf>
    <xf numFmtId="44" fontId="1" fillId="8" borderId="0" xfId="1" applyFont="1" applyFill="1" applyBorder="1" applyProtection="1"/>
    <xf numFmtId="44" fontId="3" fillId="0" borderId="27" xfId="1" applyFont="1" applyBorder="1" applyProtection="1">
      <protection locked="0"/>
    </xf>
    <xf numFmtId="0" fontId="1" fillId="0" borderId="14" xfId="0" applyFont="1" applyBorder="1"/>
    <xf numFmtId="3" fontId="1" fillId="4" borderId="2" xfId="1" applyNumberFormat="1" applyFont="1" applyFill="1" applyBorder="1" applyProtection="1">
      <protection locked="0"/>
    </xf>
    <xf numFmtId="0" fontId="1" fillId="0" borderId="21" xfId="0" applyFont="1" applyBorder="1"/>
    <xf numFmtId="164" fontId="1" fillId="0" borderId="16" xfId="0" applyNumberFormat="1" applyFont="1" applyBorder="1"/>
    <xf numFmtId="44" fontId="1" fillId="0" borderId="17" xfId="0" applyNumberFormat="1" applyFont="1" applyBorder="1"/>
    <xf numFmtId="0" fontId="1" fillId="0" borderId="0" xfId="0" applyFont="1"/>
    <xf numFmtId="3" fontId="1" fillId="0" borderId="2" xfId="1" applyNumberFormat="1" applyFont="1" applyBorder="1" applyProtection="1"/>
    <xf numFmtId="0" fontId="1" fillId="0" borderId="16" xfId="0" applyFont="1" applyBorder="1"/>
    <xf numFmtId="3" fontId="1" fillId="9" borderId="2" xfId="1" applyNumberFormat="1" applyFont="1" applyFill="1" applyBorder="1" applyProtection="1">
      <protection locked="0"/>
    </xf>
    <xf numFmtId="0" fontId="1" fillId="0" borderId="14" xfId="0" quotePrefix="1" applyFont="1" applyBorder="1"/>
    <xf numFmtId="44" fontId="1" fillId="0" borderId="27" xfId="1" applyFont="1" applyBorder="1" applyProtection="1">
      <protection locked="0"/>
    </xf>
    <xf numFmtId="171" fontId="0" fillId="0" borderId="0" xfId="0" applyNumberFormat="1"/>
    <xf numFmtId="6" fontId="11" fillId="0" borderId="0" xfId="0" applyNumberFormat="1" applyFont="1" applyAlignment="1">
      <alignment horizontal="center" vertical="top" wrapText="1"/>
    </xf>
    <xf numFmtId="6" fontId="11" fillId="0" borderId="9" xfId="0" applyNumberFormat="1" applyFont="1" applyBorder="1" applyAlignment="1">
      <alignment horizontal="center" vertical="top" wrapText="1"/>
    </xf>
    <xf numFmtId="0" fontId="0" fillId="0" borderId="41" xfId="0" applyBorder="1"/>
    <xf numFmtId="3" fontId="2" fillId="0" borderId="1" xfId="4" applyNumberFormat="1" applyFont="1" applyBorder="1" applyAlignment="1">
      <alignment horizontal="center" wrapText="1"/>
    </xf>
    <xf numFmtId="0" fontId="1" fillId="0" borderId="50" xfId="4" applyBorder="1"/>
    <xf numFmtId="0" fontId="0" fillId="0" borderId="41" xfId="0" applyBorder="1" applyAlignment="1">
      <alignment horizontal="right"/>
    </xf>
    <xf numFmtId="0" fontId="1" fillId="0" borderId="3" xfId="4" applyBorder="1" applyAlignment="1">
      <alignment horizontal="right"/>
    </xf>
    <xf numFmtId="0" fontId="0" fillId="0" borderId="33" xfId="0" applyBorder="1" applyAlignment="1">
      <alignment horizontal="right"/>
    </xf>
    <xf numFmtId="0" fontId="0" fillId="0" borderId="4" xfId="0" applyBorder="1" applyAlignment="1">
      <alignment horizontal="right"/>
    </xf>
    <xf numFmtId="0" fontId="0" fillId="0" borderId="19" xfId="0" applyBorder="1"/>
    <xf numFmtId="0" fontId="1" fillId="0" borderId="7" xfId="4" applyBorder="1"/>
    <xf numFmtId="44" fontId="1" fillId="0" borderId="34" xfId="4" applyNumberFormat="1" applyBorder="1"/>
    <xf numFmtId="44" fontId="1" fillId="0" borderId="0" xfId="5" applyFont="1" applyBorder="1" applyProtection="1"/>
    <xf numFmtId="44" fontId="1" fillId="0" borderId="17" xfId="4" applyNumberFormat="1" applyBorder="1"/>
    <xf numFmtId="9" fontId="1" fillId="0" borderId="0" xfId="6" applyFont="1" applyBorder="1" applyProtection="1"/>
    <xf numFmtId="44" fontId="1" fillId="0" borderId="0" xfId="5" applyBorder="1" applyProtection="1"/>
    <xf numFmtId="44" fontId="1" fillId="10" borderId="17" xfId="4" applyNumberFormat="1" applyFill="1" applyBorder="1"/>
    <xf numFmtId="0" fontId="1" fillId="0" borderId="8" xfId="4" applyBorder="1"/>
    <xf numFmtId="44" fontId="1" fillId="0" borderId="9" xfId="5" applyFont="1" applyBorder="1" applyProtection="1"/>
    <xf numFmtId="0" fontId="1" fillId="0" borderId="9" xfId="4" applyBorder="1" applyAlignment="1">
      <alignment horizontal="right"/>
    </xf>
    <xf numFmtId="0" fontId="1" fillId="0" borderId="9" xfId="4" applyBorder="1"/>
    <xf numFmtId="44" fontId="1" fillId="0" borderId="35" xfId="4" applyNumberFormat="1" applyBorder="1" applyAlignment="1">
      <alignment horizontal="right"/>
    </xf>
    <xf numFmtId="0" fontId="4" fillId="0" borderId="7" xfId="0" applyFont="1" applyBorder="1" applyAlignment="1">
      <alignment vertical="top"/>
    </xf>
    <xf numFmtId="0" fontId="1" fillId="0" borderId="34" xfId="0" applyFont="1" applyBorder="1"/>
    <xf numFmtId="0" fontId="0" fillId="0" borderId="0" xfId="0" applyBorder="1"/>
    <xf numFmtId="4" fontId="1" fillId="4" borderId="17" xfId="4" applyNumberFormat="1" applyFill="1" applyBorder="1" applyProtection="1">
      <protection locked="0"/>
    </xf>
    <xf numFmtId="0" fontId="1" fillId="0" borderId="0" xfId="4" applyBorder="1"/>
    <xf numFmtId="0" fontId="1" fillId="0" borderId="0" xfId="4" applyBorder="1" applyAlignment="1">
      <alignment horizontal="right"/>
    </xf>
    <xf numFmtId="0" fontId="23" fillId="0" borderId="0" xfId="0" applyFont="1" applyBorder="1" applyAlignment="1">
      <alignment horizontal="right"/>
    </xf>
    <xf numFmtId="0" fontId="4" fillId="0" borderId="0" xfId="4" applyFont="1" applyBorder="1" applyAlignment="1">
      <alignment horizontal="right"/>
    </xf>
    <xf numFmtId="3" fontId="1" fillId="11" borderId="13" xfId="4" applyNumberFormat="1" applyFill="1" applyBorder="1" applyProtection="1">
      <protection locked="0"/>
    </xf>
    <xf numFmtId="44" fontId="1" fillId="0" borderId="0" xfId="5" applyFont="1" applyFill="1" applyBorder="1" applyAlignment="1" applyProtection="1"/>
    <xf numFmtId="0" fontId="0" fillId="0" borderId="7" xfId="0" applyBorder="1"/>
    <xf numFmtId="0" fontId="0" fillId="0" borderId="34" xfId="0" applyBorder="1"/>
    <xf numFmtId="0" fontId="0" fillId="0" borderId="9" xfId="0" applyBorder="1" applyAlignment="1">
      <alignment wrapText="1"/>
    </xf>
    <xf numFmtId="0" fontId="1" fillId="0" borderId="35" xfId="0" applyFont="1" applyBorder="1"/>
    <xf numFmtId="0" fontId="4" fillId="0" borderId="50" xfId="0" applyFont="1" applyBorder="1" applyAlignment="1">
      <alignment vertical="top"/>
    </xf>
    <xf numFmtId="6" fontId="11" fillId="0" borderId="41" xfId="0" applyNumberFormat="1" applyFont="1" applyBorder="1" applyAlignment="1">
      <alignment horizontal="center" vertical="top" wrapText="1"/>
    </xf>
    <xf numFmtId="44" fontId="1" fillId="0" borderId="41" xfId="5" quotePrefix="1" applyFont="1" applyFill="1" applyBorder="1" applyAlignment="1" applyProtection="1">
      <alignment horizontal="right"/>
    </xf>
    <xf numFmtId="10" fontId="1" fillId="0" borderId="41" xfId="5" quotePrefix="1" applyNumberFormat="1" applyFont="1" applyFill="1" applyBorder="1" applyAlignment="1" applyProtection="1">
      <alignment horizontal="right"/>
    </xf>
    <xf numFmtId="6" fontId="11" fillId="0" borderId="41" xfId="0" applyNumberFormat="1" applyFont="1" applyBorder="1" applyAlignment="1">
      <alignment horizontal="justify" vertical="top" wrapText="1"/>
    </xf>
    <xf numFmtId="6" fontId="11" fillId="0" borderId="51" xfId="0" applyNumberFormat="1" applyFont="1" applyBorder="1" applyAlignment="1">
      <alignment horizontal="justify" vertical="top" wrapText="1"/>
    </xf>
    <xf numFmtId="0" fontId="4" fillId="0" borderId="7" xfId="4" applyFont="1" applyBorder="1"/>
    <xf numFmtId="3" fontId="1" fillId="0" borderId="0" xfId="0" applyNumberFormat="1" applyFont="1" applyBorder="1"/>
    <xf numFmtId="0" fontId="1" fillId="0" borderId="0" xfId="0" applyFont="1" applyBorder="1"/>
    <xf numFmtId="0" fontId="8" fillId="0" borderId="0" xfId="0" applyFont="1" applyAlignment="1" applyProtection="1">
      <alignment horizontal="center"/>
    </xf>
    <xf numFmtId="0" fontId="4" fillId="5" borderId="3" xfId="0" applyFont="1" applyFill="1" applyBorder="1" applyAlignment="1" applyProtection="1">
      <alignment horizontal="center"/>
    </xf>
    <xf numFmtId="0" fontId="4" fillId="5" borderId="33" xfId="0" applyFont="1" applyFill="1" applyBorder="1" applyAlignment="1" applyProtection="1">
      <alignment horizontal="center"/>
    </xf>
    <xf numFmtId="0" fontId="4" fillId="5" borderId="4" xfId="0" applyFont="1" applyFill="1" applyBorder="1" applyAlignment="1" applyProtection="1">
      <alignment horizontal="center"/>
    </xf>
    <xf numFmtId="44" fontId="2" fillId="0" borderId="3" xfId="1" applyFont="1" applyBorder="1" applyAlignment="1" applyProtection="1">
      <alignment horizontal="center"/>
    </xf>
    <xf numFmtId="44" fontId="2" fillId="0" borderId="33" xfId="1" applyFont="1" applyBorder="1" applyAlignment="1" applyProtection="1">
      <alignment horizontal="center"/>
    </xf>
    <xf numFmtId="44" fontId="2" fillId="0" borderId="4" xfId="1" applyFont="1" applyBorder="1" applyAlignment="1" applyProtection="1">
      <alignment horizontal="center"/>
    </xf>
    <xf numFmtId="44" fontId="3" fillId="0" borderId="53" xfId="1" applyFont="1" applyBorder="1" applyAlignment="1" applyProtection="1"/>
    <xf numFmtId="44" fontId="3" fillId="0" borderId="54" xfId="1" applyFont="1" applyBorder="1" applyAlignment="1" applyProtection="1"/>
    <xf numFmtId="0" fontId="3" fillId="0" borderId="54" xfId="0" applyFont="1" applyBorder="1" applyAlignment="1" applyProtection="1"/>
    <xf numFmtId="0" fontId="4" fillId="5" borderId="8" xfId="0" applyFont="1" applyFill="1" applyBorder="1" applyAlignment="1" applyProtection="1">
      <alignment horizontal="center"/>
    </xf>
    <xf numFmtId="0" fontId="4" fillId="5" borderId="57" xfId="0" applyFont="1" applyFill="1" applyBorder="1" applyAlignment="1" applyProtection="1">
      <alignment horizontal="center"/>
    </xf>
    <xf numFmtId="0" fontId="4" fillId="0" borderId="54" xfId="0" applyFont="1" applyBorder="1" applyAlignment="1" applyProtection="1">
      <alignment horizontal="center"/>
    </xf>
    <xf numFmtId="0" fontId="4" fillId="0" borderId="61" xfId="0" applyFont="1" applyBorder="1" applyAlignment="1" applyProtection="1">
      <alignment horizontal="center"/>
    </xf>
    <xf numFmtId="0" fontId="2" fillId="0" borderId="3" xfId="4" applyFont="1" applyBorder="1" applyAlignment="1">
      <alignment horizontal="center"/>
    </xf>
    <xf numFmtId="0" fontId="0" fillId="0" borderId="33" xfId="0" applyBorder="1"/>
    <xf numFmtId="0" fontId="0" fillId="0" borderId="4" xfId="0" applyBorder="1"/>
    <xf numFmtId="0" fontId="4" fillId="5" borderId="3" xfId="4" applyFont="1" applyFill="1" applyBorder="1" applyAlignment="1">
      <alignment horizontal="center"/>
    </xf>
    <xf numFmtId="0" fontId="4" fillId="5" borderId="33" xfId="4" applyFont="1" applyFill="1" applyBorder="1" applyAlignment="1">
      <alignment horizontal="center"/>
    </xf>
    <xf numFmtId="0" fontId="4" fillId="5" borderId="4" xfId="4" applyFont="1" applyFill="1" applyBorder="1" applyAlignment="1">
      <alignment horizontal="center"/>
    </xf>
    <xf numFmtId="0" fontId="4" fillId="0" borderId="8" xfId="0" applyFont="1" applyBorder="1" applyAlignment="1">
      <alignment vertical="top" wrapText="1"/>
    </xf>
    <xf numFmtId="0" fontId="0" fillId="0" borderId="9" xfId="0" applyBorder="1" applyAlignment="1">
      <alignment wrapText="1"/>
    </xf>
    <xf numFmtId="0" fontId="4" fillId="0" borderId="60" xfId="0" applyFont="1" applyBorder="1" applyAlignment="1" applyProtection="1"/>
    <xf numFmtId="0" fontId="4" fillId="0" borderId="43" xfId="0" applyFont="1" applyBorder="1" applyAlignment="1" applyProtection="1"/>
    <xf numFmtId="0" fontId="4" fillId="0" borderId="48" xfId="0" applyFont="1" applyBorder="1" applyAlignment="1" applyProtection="1"/>
    <xf numFmtId="0" fontId="4" fillId="0" borderId="60" xfId="0" applyFont="1" applyBorder="1" applyAlignment="1" applyProtection="1">
      <alignment horizontal="right"/>
    </xf>
    <xf numFmtId="0" fontId="4" fillId="0" borderId="43" xfId="0" applyFont="1" applyBorder="1" applyAlignment="1" applyProtection="1">
      <alignment horizontal="right"/>
    </xf>
    <xf numFmtId="0" fontId="4" fillId="0" borderId="48" xfId="0" applyFont="1" applyBorder="1" applyAlignment="1" applyProtection="1">
      <alignment horizontal="right"/>
    </xf>
    <xf numFmtId="0" fontId="4" fillId="0" borderId="46" xfId="0" applyFont="1" applyBorder="1" applyAlignment="1" applyProtection="1">
      <alignment horizontal="right"/>
    </xf>
    <xf numFmtId="0" fontId="4" fillId="0" borderId="3" xfId="0" applyFont="1" applyBorder="1" applyAlignment="1" applyProtection="1">
      <alignment horizontal="right"/>
    </xf>
    <xf numFmtId="0" fontId="4" fillId="0" borderId="33" xfId="0" applyFont="1" applyBorder="1" applyAlignment="1" applyProtection="1">
      <alignment horizontal="right"/>
    </xf>
    <xf numFmtId="0" fontId="4" fillId="0" borderId="4" xfId="0" applyFont="1" applyBorder="1" applyAlignment="1" applyProtection="1">
      <alignment horizontal="right"/>
    </xf>
    <xf numFmtId="0" fontId="4" fillId="0" borderId="8" xfId="0" applyFont="1" applyBorder="1" applyAlignment="1" applyProtection="1">
      <alignment horizontal="right"/>
    </xf>
    <xf numFmtId="0" fontId="4" fillId="0" borderId="9" xfId="0" applyFont="1" applyBorder="1" applyAlignment="1" applyProtection="1">
      <alignment horizontal="right"/>
    </xf>
    <xf numFmtId="0" fontId="4" fillId="0" borderId="30" xfId="0" applyFont="1" applyBorder="1" applyAlignment="1" applyProtection="1">
      <alignment horizontal="right"/>
    </xf>
    <xf numFmtId="0" fontId="4" fillId="7" borderId="64" xfId="0" applyFont="1" applyFill="1" applyBorder="1" applyAlignment="1" applyProtection="1">
      <alignment horizontal="center" vertical="center" wrapText="1"/>
    </xf>
    <xf numFmtId="0" fontId="4" fillId="7" borderId="65" xfId="0" applyFont="1" applyFill="1" applyBorder="1" applyAlignment="1" applyProtection="1">
      <alignment horizontal="center" vertical="center" wrapText="1"/>
    </xf>
    <xf numFmtId="0" fontId="4" fillId="7" borderId="66" xfId="0" applyFont="1" applyFill="1" applyBorder="1" applyAlignment="1" applyProtection="1">
      <alignment horizontal="center" vertical="center" wrapText="1"/>
    </xf>
    <xf numFmtId="0" fontId="1" fillId="0" borderId="0" xfId="0" applyFont="1" applyFill="1" applyBorder="1" applyAlignment="1" applyProtection="1">
      <alignment horizontal="left" wrapText="1"/>
    </xf>
    <xf numFmtId="0" fontId="1" fillId="0" borderId="0" xfId="0" applyFont="1" applyFill="1" applyAlignment="1" applyProtection="1">
      <alignment horizontal="left" wrapText="1"/>
    </xf>
    <xf numFmtId="0" fontId="0" fillId="0" borderId="0" xfId="0" applyFill="1" applyAlignment="1" applyProtection="1">
      <alignment horizontal="left" wrapText="1"/>
    </xf>
    <xf numFmtId="44" fontId="2" fillId="5" borderId="3" xfId="1" applyFont="1" applyFill="1" applyBorder="1" applyAlignment="1" applyProtection="1">
      <alignment horizontal="center"/>
    </xf>
    <xf numFmtId="44" fontId="2" fillId="5" borderId="33" xfId="1" applyFont="1" applyFill="1" applyBorder="1" applyAlignment="1" applyProtection="1">
      <alignment horizontal="center"/>
    </xf>
    <xf numFmtId="44" fontId="2" fillId="5" borderId="4" xfId="1" applyFont="1" applyFill="1" applyBorder="1" applyAlignment="1" applyProtection="1">
      <alignment horizontal="center"/>
    </xf>
    <xf numFmtId="0" fontId="3" fillId="0" borderId="7" xfId="0" applyFont="1" applyFill="1" applyBorder="1" applyAlignment="1" applyProtection="1">
      <alignment horizontal="left" vertical="top" wrapText="1"/>
    </xf>
    <xf numFmtId="0" fontId="3" fillId="0" borderId="0" xfId="0" applyFont="1" applyFill="1" applyBorder="1" applyAlignment="1" applyProtection="1">
      <alignment horizontal="left"/>
    </xf>
    <xf numFmtId="0" fontId="3" fillId="0" borderId="7" xfId="0" applyFont="1" applyFill="1" applyBorder="1" applyAlignment="1" applyProtection="1">
      <alignment horizontal="left"/>
    </xf>
    <xf numFmtId="0" fontId="1" fillId="0" borderId="7" xfId="0" applyFont="1" applyFill="1" applyBorder="1" applyAlignment="1" applyProtection="1">
      <alignment horizontal="left" vertical="top" wrapText="1"/>
    </xf>
    <xf numFmtId="0" fontId="3" fillId="0" borderId="0" xfId="0" applyFont="1" applyFill="1" applyBorder="1" applyAlignment="1" applyProtection="1"/>
    <xf numFmtId="0" fontId="3" fillId="0" borderId="7" xfId="0" applyFont="1" applyFill="1" applyBorder="1" applyAlignment="1" applyProtection="1"/>
    <xf numFmtId="3" fontId="3" fillId="0" borderId="3" xfId="0" applyNumberFormat="1" applyFont="1" applyFill="1" applyBorder="1" applyAlignment="1" applyProtection="1">
      <alignment horizontal="center"/>
    </xf>
    <xf numFmtId="3" fontId="3" fillId="0" borderId="33" xfId="0" applyNumberFormat="1" applyFont="1" applyFill="1" applyBorder="1" applyAlignment="1" applyProtection="1">
      <alignment horizontal="center"/>
    </xf>
    <xf numFmtId="3" fontId="3" fillId="0" borderId="4" xfId="0" applyNumberFormat="1" applyFont="1" applyFill="1" applyBorder="1" applyAlignment="1" applyProtection="1">
      <alignment horizontal="center"/>
    </xf>
    <xf numFmtId="0" fontId="3" fillId="0" borderId="0" xfId="0" applyFont="1" applyFill="1" applyBorder="1" applyAlignment="1" applyProtection="1">
      <alignment vertical="top" wrapText="1"/>
    </xf>
    <xf numFmtId="0" fontId="3" fillId="0" borderId="0" xfId="0" applyFont="1" applyAlignment="1" applyProtection="1">
      <alignment vertical="top" wrapText="1"/>
    </xf>
    <xf numFmtId="0" fontId="0" fillId="0" borderId="0" xfId="0" applyFill="1" applyBorder="1" applyAlignment="1" applyProtection="1">
      <alignment horizontal="left" wrapText="1"/>
    </xf>
    <xf numFmtId="0" fontId="0" fillId="0" borderId="34" xfId="0" applyFill="1" applyBorder="1" applyAlignment="1" applyProtection="1">
      <alignment horizontal="left" wrapText="1"/>
    </xf>
    <xf numFmtId="0" fontId="0" fillId="0" borderId="7" xfId="0" applyFill="1" applyBorder="1" applyAlignment="1" applyProtection="1">
      <alignment horizontal="left" wrapText="1"/>
    </xf>
    <xf numFmtId="44" fontId="0" fillId="0" borderId="7" xfId="0" applyNumberFormat="1" applyFill="1" applyBorder="1" applyAlignment="1" applyProtection="1">
      <alignment horizontal="right" wrapText="1"/>
    </xf>
    <xf numFmtId="0" fontId="0" fillId="0" borderId="8" xfId="0" applyFill="1" applyBorder="1" applyAlignment="1" applyProtection="1">
      <alignment wrapText="1"/>
    </xf>
    <xf numFmtId="0" fontId="1" fillId="0" borderId="7" xfId="0" applyFont="1" applyFill="1" applyBorder="1" applyAlignment="1" applyProtection="1">
      <alignment horizontal="left" wrapText="1"/>
    </xf>
    <xf numFmtId="0" fontId="0" fillId="0" borderId="0" xfId="0" applyFill="1" applyAlignment="1" applyProtection="1">
      <alignment wrapText="1"/>
    </xf>
    <xf numFmtId="0" fontId="0" fillId="0" borderId="34" xfId="0" applyFill="1" applyBorder="1" applyAlignment="1" applyProtection="1">
      <alignment wrapText="1"/>
    </xf>
    <xf numFmtId="0" fontId="0" fillId="0" borderId="7" xfId="0" applyFill="1" applyBorder="1" applyAlignment="1" applyProtection="1">
      <alignment wrapText="1"/>
    </xf>
    <xf numFmtId="0" fontId="1" fillId="0" borderId="0" xfId="0" applyFont="1" applyFill="1" applyBorder="1" applyAlignment="1" applyProtection="1">
      <alignment wrapText="1"/>
    </xf>
    <xf numFmtId="0" fontId="1" fillId="0" borderId="34" xfId="0" applyFont="1" applyFill="1" applyBorder="1" applyAlignment="1" applyProtection="1">
      <alignment wrapText="1"/>
    </xf>
    <xf numFmtId="0" fontId="1" fillId="0" borderId="7" xfId="0" applyFont="1" applyFill="1" applyBorder="1" applyAlignment="1" applyProtection="1">
      <alignment wrapText="1"/>
    </xf>
    <xf numFmtId="44" fontId="2" fillId="0" borderId="50" xfId="1" applyFont="1" applyBorder="1" applyAlignment="1" applyProtection="1">
      <alignment horizontal="center"/>
    </xf>
    <xf numFmtId="44" fontId="2" fillId="0" borderId="41" xfId="1" applyFont="1" applyBorder="1" applyAlignment="1" applyProtection="1">
      <alignment horizontal="center"/>
    </xf>
    <xf numFmtId="44" fontId="2" fillId="0" borderId="51" xfId="1" applyFont="1" applyBorder="1" applyAlignment="1" applyProtection="1">
      <alignment horizontal="center"/>
    </xf>
    <xf numFmtId="0" fontId="0" fillId="0" borderId="0" xfId="0" applyAlignment="1">
      <alignment horizontal="left"/>
    </xf>
    <xf numFmtId="0" fontId="1" fillId="0" borderId="0" xfId="4" applyFont="1" applyAlignment="1">
      <alignment horizontal="left" vertical="top" wrapText="1"/>
    </xf>
    <xf numFmtId="0" fontId="1" fillId="0" borderId="0" xfId="4" applyAlignment="1">
      <alignment horizontal="left" vertical="top" wrapText="1"/>
    </xf>
    <xf numFmtId="0" fontId="1" fillId="0" borderId="0" xfId="0" applyFont="1" applyAlignment="1">
      <alignment horizontal="center"/>
    </xf>
  </cellXfs>
  <cellStyles count="9">
    <cellStyle name="Comma" xfId="3" builtinId="3"/>
    <cellStyle name="Comma 2" xfId="7" xr:uid="{00000000-0005-0000-0000-000001000000}"/>
    <cellStyle name="Currency" xfId="1" builtinId="4"/>
    <cellStyle name="Currency 2" xfId="5" xr:uid="{00000000-0005-0000-0000-000003000000}"/>
    <cellStyle name="Hyperlink" xfId="8" builtinId="8"/>
    <cellStyle name="Normal" xfId="0" builtinId="0"/>
    <cellStyle name="Normal 2" xfId="4" xr:uid="{00000000-0005-0000-0000-000006000000}"/>
    <cellStyle name="Percent" xfId="2" builtinId="5"/>
    <cellStyle name="Percent 2" xfId="6" xr:uid="{00000000-0005-0000-0000-000008000000}"/>
  </cellStyles>
  <dxfs count="0"/>
  <tableStyles count="0" defaultTableStyle="TableStyleMedium9" defaultPivotStyle="PivotStyleLight16"/>
  <colors>
    <mruColors>
      <color rgb="FFFFFF99"/>
      <color rgb="FF66FFFF"/>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514872</xdr:colOff>
      <xdr:row>18</xdr:row>
      <xdr:rowOff>16675</xdr:rowOff>
    </xdr:from>
    <xdr:to>
      <xdr:col>7</xdr:col>
      <xdr:colOff>123266</xdr:colOff>
      <xdr:row>29</xdr:row>
      <xdr:rowOff>143385</xdr:rowOff>
    </xdr:to>
    <xdr:pic>
      <xdr:nvPicPr>
        <xdr:cNvPr id="3" name="Picture 2">
          <a:extLst>
            <a:ext uri="{FF2B5EF4-FFF2-40B4-BE49-F238E27FC236}">
              <a16:creationId xmlns:a16="http://schemas.microsoft.com/office/drawing/2014/main" id="{3CB05FC2-8296-41EB-A42F-5A71DDBCACC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19990" y="3512910"/>
          <a:ext cx="3239100" cy="185241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85726</xdr:colOff>
      <xdr:row>0</xdr:row>
      <xdr:rowOff>0</xdr:rowOff>
    </xdr:from>
    <xdr:to>
      <xdr:col>7</xdr:col>
      <xdr:colOff>694016</xdr:colOff>
      <xdr:row>12</xdr:row>
      <xdr:rowOff>66516</xdr:rowOff>
    </xdr:to>
    <xdr:sp macro="" textlink="" fLocksText="0">
      <xdr:nvSpPr>
        <xdr:cNvPr id="3073" name="Text Box 1">
          <a:extLst>
            <a:ext uri="{FF2B5EF4-FFF2-40B4-BE49-F238E27FC236}">
              <a16:creationId xmlns:a16="http://schemas.microsoft.com/office/drawing/2014/main" id="{00000000-0008-0000-0100-0000010C0000}"/>
            </a:ext>
          </a:extLst>
        </xdr:cNvPr>
        <xdr:cNvSpPr txBox="1">
          <a:spLocks noChangeArrowheads="1"/>
        </xdr:cNvSpPr>
      </xdr:nvSpPr>
      <xdr:spPr bwMode="auto">
        <a:xfrm>
          <a:off x="85726" y="161924"/>
          <a:ext cx="7351990" cy="2028667"/>
        </a:xfrm>
        <a:prstGeom prst="rect">
          <a:avLst/>
        </a:prstGeom>
        <a:noFill/>
        <a:ln w="9525">
          <a:noFill/>
          <a:miter lim="800000"/>
          <a:headEnd/>
          <a:tailEnd/>
        </a:ln>
      </xdr:spPr>
      <xdr:txBody>
        <a:bodyPr vertOverflow="clip" wrap="square" lIns="27432" tIns="27432" rIns="27432" bIns="0" anchor="t" upright="1"/>
        <a:lstStyle/>
        <a:p>
          <a:pPr algn="ctr" rtl="0">
            <a:defRPr sz="1000"/>
          </a:pPr>
          <a:r>
            <a:rPr lang="en-US" sz="1100" b="1" i="0" u="none" strike="noStrike" baseline="0">
              <a:solidFill>
                <a:srgbClr val="000000"/>
              </a:solidFill>
              <a:latin typeface="Arial"/>
              <a:cs typeface="Arial"/>
            </a:rPr>
            <a:t>COUNTY OF LOS ANGELES DEPARTMENT OF PUBLIC WORKS</a:t>
          </a:r>
        </a:p>
        <a:p>
          <a:pPr algn="ctr" rtl="0">
            <a:defRPr sz="1000"/>
          </a:pPr>
          <a:r>
            <a:rPr lang="en-US" sz="1100" b="1" i="0" u="none" strike="noStrike" baseline="0">
              <a:solidFill>
                <a:srgbClr val="000000"/>
              </a:solidFill>
              <a:latin typeface="Arial"/>
              <a:cs typeface="Arial"/>
            </a:rPr>
            <a:t>LAND DEVELOPMENT DIVISION</a:t>
          </a:r>
        </a:p>
        <a:p>
          <a:pPr algn="ctr" rtl="0">
            <a:defRPr sz="1000"/>
          </a:pPr>
          <a:r>
            <a:rPr lang="en-US" sz="1100" b="1" i="0" u="none" strike="noStrike" baseline="0">
              <a:solidFill>
                <a:srgbClr val="000000"/>
              </a:solidFill>
              <a:latin typeface="Arial"/>
              <a:cs typeface="Arial"/>
            </a:rPr>
            <a:t>ROADS</a:t>
          </a:r>
        </a:p>
        <a:p>
          <a:pPr algn="ctr" rtl="0">
            <a:defRPr sz="1000"/>
          </a:pPr>
          <a:r>
            <a:rPr lang="en-US" sz="1100" b="1" i="0" u="sng" strike="noStrike" baseline="0">
              <a:solidFill>
                <a:srgbClr val="000000"/>
              </a:solidFill>
              <a:latin typeface="Arial"/>
              <a:cs typeface="Arial"/>
            </a:rPr>
            <a:t>COST ESTIMATE FOR BOND PURPOSES</a:t>
          </a:r>
          <a:endParaRPr lang="en-US" sz="1100" b="0" i="0" u="none" strike="noStrike" baseline="0">
            <a:solidFill>
              <a:srgbClr val="000000"/>
            </a:solidFill>
            <a:latin typeface="Arial"/>
            <a:cs typeface="Arial"/>
          </a:endParaRP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ROAD IMPROVEMENTS FOR PARCEL MAP/TRACT NO._______________________________________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LOCATION_____________________________________________________________________________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PREPARED BY____________________ DATE_____________ CHECKED BY________ DATE__________</a:t>
          </a:r>
        </a:p>
        <a:p>
          <a:pPr algn="ctr" rtl="0">
            <a:defRPr sz="1000"/>
          </a:pPr>
          <a:endParaRPr lang="en-US" sz="1100" b="0" i="0" u="none" strike="noStrike" baseline="0">
            <a:solidFill>
              <a:srgbClr val="000000"/>
            </a:solidFill>
            <a:latin typeface="Arial"/>
            <a:cs typeface="Arial"/>
          </a:endParaRPr>
        </a:p>
      </xdr:txBody>
    </xdr:sp>
    <xdr:clientData fLocksWithSheet="0"/>
  </xdr:twoCellAnchor>
</xdr:wsDr>
</file>

<file path=xl/drawings/drawing3.xml><?xml version="1.0" encoding="utf-8"?>
<xdr:wsDr xmlns:xdr="http://schemas.openxmlformats.org/drawingml/2006/spreadsheetDrawing" xmlns:a="http://schemas.openxmlformats.org/drawingml/2006/main">
  <xdr:twoCellAnchor>
    <xdr:from>
      <xdr:col>0</xdr:col>
      <xdr:colOff>185106</xdr:colOff>
      <xdr:row>0</xdr:row>
      <xdr:rowOff>147006</xdr:rowOff>
    </xdr:from>
    <xdr:to>
      <xdr:col>7</xdr:col>
      <xdr:colOff>694015</xdr:colOff>
      <xdr:row>12</xdr:row>
      <xdr:rowOff>0</xdr:rowOff>
    </xdr:to>
    <xdr:sp macro="" textlink="" fLocksText="0">
      <xdr:nvSpPr>
        <xdr:cNvPr id="2" name="Text Box 1">
          <a:extLst>
            <a:ext uri="{FF2B5EF4-FFF2-40B4-BE49-F238E27FC236}">
              <a16:creationId xmlns:a16="http://schemas.microsoft.com/office/drawing/2014/main" id="{00000000-0008-0000-0200-000002000000}"/>
            </a:ext>
          </a:extLst>
        </xdr:cNvPr>
        <xdr:cNvSpPr txBox="1">
          <a:spLocks noChangeArrowheads="1"/>
        </xdr:cNvSpPr>
      </xdr:nvSpPr>
      <xdr:spPr bwMode="auto">
        <a:xfrm>
          <a:off x="185106" y="147006"/>
          <a:ext cx="6823984" cy="2043586"/>
        </a:xfrm>
        <a:prstGeom prst="rect">
          <a:avLst/>
        </a:prstGeom>
        <a:noFill/>
        <a:ln w="9525">
          <a:noFill/>
          <a:miter lim="800000"/>
          <a:headEnd/>
          <a:tailEnd/>
        </a:ln>
      </xdr:spPr>
      <xdr:txBody>
        <a:bodyPr vertOverflow="clip" wrap="square" lIns="27432" tIns="27432" rIns="27432" bIns="0" anchor="t" upright="1"/>
        <a:lstStyle/>
        <a:p>
          <a:pPr algn="ctr" rtl="0">
            <a:defRPr sz="1000"/>
          </a:pPr>
          <a:r>
            <a:rPr lang="en-US" sz="1100" b="1" i="0" u="none" strike="noStrike" baseline="0">
              <a:solidFill>
                <a:srgbClr val="000000"/>
              </a:solidFill>
              <a:latin typeface="Arial"/>
              <a:cs typeface="Arial"/>
            </a:rPr>
            <a:t>COUNTY OF LOS ANGELES DEPARTMENT OF PUBLIC WORKS</a:t>
          </a:r>
        </a:p>
        <a:p>
          <a:pPr algn="ctr" rtl="0">
            <a:defRPr sz="1000"/>
          </a:pPr>
          <a:r>
            <a:rPr lang="en-US" sz="1100" b="1" i="0" u="none" strike="noStrike" baseline="0">
              <a:solidFill>
                <a:srgbClr val="000000"/>
              </a:solidFill>
              <a:latin typeface="Arial"/>
              <a:cs typeface="Arial"/>
            </a:rPr>
            <a:t>TRAFFIC &amp; LIGHTING DIVISION</a:t>
          </a:r>
        </a:p>
        <a:p>
          <a:pPr algn="ctr" rtl="0">
            <a:defRPr sz="1000"/>
          </a:pPr>
          <a:r>
            <a:rPr lang="en-US" sz="1100" b="1" i="0" u="none" strike="noStrike" baseline="0">
              <a:solidFill>
                <a:srgbClr val="000000"/>
              </a:solidFill>
              <a:latin typeface="Arial"/>
              <a:cs typeface="Arial"/>
            </a:rPr>
            <a:t>TRAFFIC STUDIES</a:t>
          </a:r>
        </a:p>
        <a:p>
          <a:pPr algn="ctr" rtl="0">
            <a:defRPr sz="1000"/>
          </a:pPr>
          <a:r>
            <a:rPr lang="en-US" sz="1100" b="1" i="0" u="sng" strike="noStrike" baseline="0">
              <a:solidFill>
                <a:srgbClr val="000000"/>
              </a:solidFill>
              <a:latin typeface="Arial"/>
              <a:cs typeface="Arial"/>
            </a:rPr>
            <a:t>COST ESTIMATE FOR BOND PURPOSES</a:t>
          </a:r>
          <a:endParaRPr lang="en-US" sz="1100" b="0" i="0" u="none" strike="noStrike" baseline="0">
            <a:solidFill>
              <a:srgbClr val="000000"/>
            </a:solidFill>
            <a:latin typeface="Arial"/>
            <a:cs typeface="Arial"/>
          </a:endParaRP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SIGNING &amp; STRIPING FOR PARCEL MAP/TRACT NO._______________________________________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LOCATION_____________________________________________________________________________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PREPARED BY____________________ DATE_____________ CHECKED BY________ DATE__________</a:t>
          </a:r>
        </a:p>
        <a:p>
          <a:pPr algn="ctr" rtl="0">
            <a:defRPr sz="1000"/>
          </a:pPr>
          <a:endParaRPr lang="en-US" sz="1100" b="0" i="0" u="none" strike="noStrike" baseline="0">
            <a:solidFill>
              <a:srgbClr val="000000"/>
            </a:solidFill>
            <a:latin typeface="Arial"/>
            <a:cs typeface="Arial"/>
          </a:endParaRPr>
        </a:p>
      </xdr:txBody>
    </xdr:sp>
    <xdr:clientData fLocksWithSheet="0"/>
  </xdr:twoCellAnchor>
</xdr:wsDr>
</file>

<file path=xl/drawings/drawing4.xml><?xml version="1.0" encoding="utf-8"?>
<xdr:wsDr xmlns:xdr="http://schemas.openxmlformats.org/drawingml/2006/spreadsheetDrawing" xmlns:a="http://schemas.openxmlformats.org/drawingml/2006/main">
  <xdr:twoCellAnchor>
    <xdr:from>
      <xdr:col>0</xdr:col>
      <xdr:colOff>185106</xdr:colOff>
      <xdr:row>0</xdr:row>
      <xdr:rowOff>113040</xdr:rowOff>
    </xdr:from>
    <xdr:to>
      <xdr:col>6</xdr:col>
      <xdr:colOff>694016</xdr:colOff>
      <xdr:row>11</xdr:row>
      <xdr:rowOff>85725</xdr:rowOff>
    </xdr:to>
    <xdr:sp macro="" textlink="" fLocksText="0">
      <xdr:nvSpPr>
        <xdr:cNvPr id="5121" name="Text Box 1">
          <a:extLst>
            <a:ext uri="{FF2B5EF4-FFF2-40B4-BE49-F238E27FC236}">
              <a16:creationId xmlns:a16="http://schemas.microsoft.com/office/drawing/2014/main" id="{00000000-0008-0000-0400-000001140000}"/>
            </a:ext>
          </a:extLst>
        </xdr:cNvPr>
        <xdr:cNvSpPr txBox="1">
          <a:spLocks noChangeArrowheads="1"/>
        </xdr:cNvSpPr>
      </xdr:nvSpPr>
      <xdr:spPr bwMode="auto">
        <a:xfrm>
          <a:off x="185106" y="113040"/>
          <a:ext cx="7309760" cy="1763385"/>
        </a:xfrm>
        <a:prstGeom prst="rect">
          <a:avLst/>
        </a:prstGeom>
        <a:noFill/>
        <a:ln w="9525">
          <a:noFill/>
          <a:miter lim="800000"/>
          <a:headEnd/>
          <a:tailEnd/>
        </a:ln>
      </xdr:spPr>
      <xdr:txBody>
        <a:bodyPr vertOverflow="clip" wrap="square" lIns="27432" tIns="27432" rIns="27432" bIns="0" anchor="t" upright="1"/>
        <a:lstStyle/>
        <a:p>
          <a:pPr algn="ctr" rtl="0">
            <a:defRPr sz="1000"/>
          </a:pPr>
          <a:r>
            <a:rPr lang="en-US" sz="1100" b="1" i="0" u="none" strike="noStrike" baseline="0">
              <a:solidFill>
                <a:srgbClr val="000000"/>
              </a:solidFill>
              <a:latin typeface="Arial"/>
              <a:cs typeface="Arial"/>
            </a:rPr>
            <a:t>COUNTY OF LOS ANGELES DEPARTMENT OF PUBLIC WORKS</a:t>
          </a:r>
        </a:p>
        <a:p>
          <a:pPr algn="ctr" rtl="0">
            <a:defRPr sz="1000"/>
          </a:pPr>
          <a:r>
            <a:rPr lang="en-US" sz="1100" b="1" i="0" u="none" strike="noStrike" baseline="0">
              <a:solidFill>
                <a:srgbClr val="000000"/>
              </a:solidFill>
              <a:latin typeface="Arial"/>
              <a:cs typeface="Arial"/>
            </a:rPr>
            <a:t>LAND DEVELOPMENT DIVISION</a:t>
          </a:r>
        </a:p>
        <a:p>
          <a:pPr algn="ctr" rtl="0">
            <a:defRPr sz="1000"/>
          </a:pPr>
          <a:r>
            <a:rPr lang="en-US" sz="1100" b="1" i="0" u="none" strike="noStrike" baseline="0">
              <a:solidFill>
                <a:srgbClr val="000000"/>
              </a:solidFill>
              <a:latin typeface="Arial"/>
              <a:cs typeface="Arial"/>
            </a:rPr>
            <a:t>PRIVATE DRAIN (PD) / MISCELLANEOUS TRANSFER DRAIN (MTD)</a:t>
          </a:r>
        </a:p>
        <a:p>
          <a:pPr algn="ctr" rtl="0">
            <a:defRPr sz="1000"/>
          </a:pPr>
          <a:r>
            <a:rPr lang="en-US" sz="1100" b="1" i="0" u="sng" strike="noStrike" baseline="0">
              <a:solidFill>
                <a:srgbClr val="000000"/>
              </a:solidFill>
              <a:latin typeface="Arial"/>
              <a:cs typeface="Arial"/>
            </a:rPr>
            <a:t>COST ESTIMATE FOR BOND PURPOSES</a:t>
          </a:r>
          <a:endParaRPr lang="en-US" sz="1100" b="0" i="0" u="none" strike="noStrike" baseline="0">
            <a:solidFill>
              <a:srgbClr val="000000"/>
            </a:solidFill>
            <a:latin typeface="Arial"/>
            <a:cs typeface="Arial"/>
          </a:endParaRP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STORM DRAIN FOR PARCEL MAP/TRACT NO.__________________   PD/MTD No._________________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LOCATION_____________________________________________________________________________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PREPARED BY____________________ DATE_____________ CHECKED BY________ DATE__________</a:t>
          </a:r>
        </a:p>
        <a:p>
          <a:pPr algn="ctr" rtl="0">
            <a:defRPr sz="1000"/>
          </a:pPr>
          <a:endParaRPr lang="en-US" sz="1100" b="0" i="0" u="none" strike="noStrike" baseline="0">
            <a:solidFill>
              <a:srgbClr val="000000"/>
            </a:solidFill>
            <a:latin typeface="Arial"/>
            <a:cs typeface="Arial"/>
          </a:endParaRPr>
        </a:p>
      </xdr:txBody>
    </xdr:sp>
    <xdr:clientData fLocksWithSheet="0"/>
  </xdr:twoCellAnchor>
  <xdr:oneCellAnchor>
    <xdr:from>
      <xdr:col>0</xdr:col>
      <xdr:colOff>1371600</xdr:colOff>
      <xdr:row>76</xdr:row>
      <xdr:rowOff>123825</xdr:rowOff>
    </xdr:from>
    <xdr:ext cx="184731" cy="264560"/>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371600" y="742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0</xdr:col>
      <xdr:colOff>185106</xdr:colOff>
      <xdr:row>0</xdr:row>
      <xdr:rowOff>99381</xdr:rowOff>
    </xdr:from>
    <xdr:to>
      <xdr:col>6</xdr:col>
      <xdr:colOff>694015</xdr:colOff>
      <xdr:row>11</xdr:row>
      <xdr:rowOff>19076</xdr:rowOff>
    </xdr:to>
    <xdr:sp macro="" textlink="" fLocksText="0">
      <xdr:nvSpPr>
        <xdr:cNvPr id="1025" name="Text Box 1">
          <a:extLst>
            <a:ext uri="{FF2B5EF4-FFF2-40B4-BE49-F238E27FC236}">
              <a16:creationId xmlns:a16="http://schemas.microsoft.com/office/drawing/2014/main" id="{00000000-0008-0000-0500-000001040000}"/>
            </a:ext>
          </a:extLst>
        </xdr:cNvPr>
        <xdr:cNvSpPr txBox="1">
          <a:spLocks noChangeArrowheads="1"/>
        </xdr:cNvSpPr>
      </xdr:nvSpPr>
      <xdr:spPr bwMode="auto">
        <a:xfrm>
          <a:off x="188702" y="102977"/>
          <a:ext cx="6846658" cy="2030636"/>
        </a:xfrm>
        <a:prstGeom prst="rect">
          <a:avLst/>
        </a:prstGeom>
        <a:noFill/>
        <a:ln w="9525">
          <a:noFill/>
          <a:miter lim="800000"/>
          <a:headEnd/>
          <a:tailEnd/>
        </a:ln>
      </xdr:spPr>
      <xdr:txBody>
        <a:bodyPr vertOverflow="clip" wrap="square" lIns="27432" tIns="27432" rIns="27432" bIns="0" anchor="t" upright="1"/>
        <a:lstStyle/>
        <a:p>
          <a:pPr algn="ctr" rtl="0">
            <a:defRPr sz="1000"/>
          </a:pPr>
          <a:r>
            <a:rPr lang="en-US" sz="1100" b="1" i="0" u="none" strike="noStrike" baseline="0">
              <a:solidFill>
                <a:srgbClr val="000000"/>
              </a:solidFill>
              <a:latin typeface="Arial"/>
              <a:cs typeface="Arial"/>
            </a:rPr>
            <a:t>COUNTY OF LOS ANGELES DEPARTMENT OF PUBLIC WORKS</a:t>
          </a:r>
        </a:p>
        <a:p>
          <a:pPr algn="ctr" rtl="0">
            <a:defRPr sz="1000"/>
          </a:pPr>
          <a:r>
            <a:rPr lang="en-US" sz="1100" b="1" i="0" u="none" strike="noStrike" baseline="0">
              <a:solidFill>
                <a:srgbClr val="000000"/>
              </a:solidFill>
              <a:latin typeface="Arial"/>
              <a:cs typeface="Arial"/>
            </a:rPr>
            <a:t>LAND DEVELOPMENT DIVISION</a:t>
          </a:r>
        </a:p>
        <a:p>
          <a:pPr algn="ctr" rtl="0">
            <a:defRPr sz="1000"/>
          </a:pPr>
          <a:r>
            <a:rPr lang="en-US" sz="1100" b="1" i="0" u="none" strike="noStrike" baseline="0">
              <a:solidFill>
                <a:srgbClr val="000000"/>
              </a:solidFill>
              <a:latin typeface="Arial"/>
              <a:cs typeface="Arial"/>
            </a:rPr>
            <a:t>SEWER SYSTEMS</a:t>
          </a:r>
        </a:p>
        <a:p>
          <a:pPr algn="ctr" rtl="0">
            <a:defRPr sz="1000"/>
          </a:pPr>
          <a:r>
            <a:rPr lang="en-US" sz="1100" b="1" i="0" u="sng" strike="noStrike" baseline="0">
              <a:solidFill>
                <a:srgbClr val="000000"/>
              </a:solidFill>
              <a:latin typeface="Arial"/>
              <a:cs typeface="Arial"/>
            </a:rPr>
            <a:t>COST ESTIMATE FOR BOND PURPOSES</a:t>
          </a:r>
          <a:endParaRPr lang="en-US" sz="1100" b="0" i="0" u="none" strike="noStrike" baseline="0">
            <a:solidFill>
              <a:srgbClr val="000000"/>
            </a:solidFill>
            <a:latin typeface="Arial"/>
            <a:cs typeface="Arial"/>
          </a:endParaRP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SEWER IMPROVEMENTS FOR PARCEL MAP/TRACT NO.___</a:t>
          </a:r>
          <a:r>
            <a:rPr lang="en-US" sz="1100" b="0" i="0" u="sng" strike="noStrike" baseline="0">
              <a:solidFill>
                <a:srgbClr val="000000"/>
              </a:solidFill>
              <a:latin typeface="Arial"/>
              <a:cs typeface="Arial"/>
            </a:rPr>
            <a:t>        </a:t>
          </a:r>
          <a:r>
            <a:rPr lang="en-US" sz="1100" b="0" i="0" u="none" strike="noStrike" baseline="0">
              <a:solidFill>
                <a:srgbClr val="000000"/>
              </a:solidFill>
              <a:latin typeface="Arial"/>
              <a:cs typeface="Arial"/>
            </a:rPr>
            <a:t>__   PC No.___</a:t>
          </a:r>
          <a:r>
            <a:rPr lang="en-US" sz="1100" b="0" i="0" u="sng" strike="noStrike" baseline="0">
              <a:solidFill>
                <a:srgbClr val="000000"/>
              </a:solidFill>
              <a:latin typeface="Arial"/>
              <a:cs typeface="Arial"/>
            </a:rPr>
            <a:t>     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LOCATION_</a:t>
          </a:r>
          <a:r>
            <a:rPr lang="en-US" sz="1100" b="0" i="0" u="sng" strike="noStrike" baseline="0">
              <a:solidFill>
                <a:srgbClr val="000000"/>
              </a:solidFill>
              <a:latin typeface="Arial"/>
              <a:cs typeface="Arial"/>
            </a:rPr>
            <a:t> ___________</a:t>
          </a: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PREPARED BY</a:t>
          </a:r>
          <a:r>
            <a:rPr lang="en-US" sz="1100" b="0" i="0" u="sng" strike="noStrike" baseline="0">
              <a:solidFill>
                <a:srgbClr val="000000"/>
              </a:solidFill>
              <a:latin typeface="Arial"/>
              <a:cs typeface="Arial"/>
            </a:rPr>
            <a:t>_  </a:t>
          </a:r>
          <a:r>
            <a:rPr lang="en-US" sz="1100" b="0" i="0" u="none" strike="noStrike" baseline="0">
              <a:solidFill>
                <a:srgbClr val="000000"/>
              </a:solidFill>
              <a:latin typeface="Arial"/>
              <a:cs typeface="Arial"/>
            </a:rPr>
            <a:t>_ DATE__</a:t>
          </a:r>
          <a:r>
            <a:rPr lang="en-US" sz="1100" b="0" i="0" u="sng" strike="noStrike" baseline="0">
              <a:solidFill>
                <a:srgbClr val="000000"/>
              </a:solidFill>
              <a:latin typeface="Arial"/>
              <a:cs typeface="Arial"/>
            </a:rPr>
            <a:t>        </a:t>
          </a:r>
          <a:r>
            <a:rPr lang="en-US" sz="1100" b="0" i="0" u="none" strike="noStrike" baseline="0">
              <a:solidFill>
                <a:srgbClr val="000000"/>
              </a:solidFill>
              <a:latin typeface="Arial"/>
              <a:cs typeface="Arial"/>
            </a:rPr>
            <a:t>__ CHECKED BY__</a:t>
          </a:r>
          <a:r>
            <a:rPr lang="en-US" sz="1100" b="0" i="0" u="sng" strike="noStrike" baseline="0">
              <a:solidFill>
                <a:srgbClr val="000000"/>
              </a:solidFill>
              <a:latin typeface="Arial"/>
              <a:cs typeface="Arial"/>
            </a:rPr>
            <a:t>  </a:t>
          </a:r>
          <a:r>
            <a:rPr lang="en-US" sz="1100" b="0" i="0" u="none" strike="noStrike" baseline="0">
              <a:solidFill>
                <a:srgbClr val="000000"/>
              </a:solidFill>
              <a:latin typeface="Arial"/>
              <a:cs typeface="Arial"/>
            </a:rPr>
            <a:t>_ DATE_</a:t>
          </a:r>
          <a:r>
            <a:rPr lang="en-US" sz="1100" b="0" i="0" u="sng" strike="noStrike" baseline="0">
              <a:solidFill>
                <a:srgbClr val="000000"/>
              </a:solidFill>
              <a:latin typeface="Arial"/>
              <a:cs typeface="Arial"/>
            </a:rPr>
            <a:t>        </a:t>
          </a:r>
          <a:r>
            <a:rPr lang="en-US" sz="1100" b="0" i="0" u="none" strike="noStrike" baseline="0">
              <a:solidFill>
                <a:srgbClr val="000000"/>
              </a:solidFill>
              <a:latin typeface="Arial"/>
              <a:cs typeface="Arial"/>
            </a:rPr>
            <a:t>__</a:t>
          </a:r>
        </a:p>
      </xdr:txBody>
    </xdr:sp>
    <xdr:clientData fLocksWithSheet="0"/>
  </xdr:twoCellAnchor>
</xdr:wsDr>
</file>

<file path=xl/drawings/drawing6.xml><?xml version="1.0" encoding="utf-8"?>
<xdr:wsDr xmlns:xdr="http://schemas.openxmlformats.org/drawingml/2006/spreadsheetDrawing" xmlns:a="http://schemas.openxmlformats.org/drawingml/2006/main">
  <xdr:twoCellAnchor>
    <xdr:from>
      <xdr:col>0</xdr:col>
      <xdr:colOff>185106</xdr:colOff>
      <xdr:row>1</xdr:row>
      <xdr:rowOff>33606</xdr:rowOff>
    </xdr:from>
    <xdr:to>
      <xdr:col>6</xdr:col>
      <xdr:colOff>694015</xdr:colOff>
      <xdr:row>11</xdr:row>
      <xdr:rowOff>123825</xdr:rowOff>
    </xdr:to>
    <xdr:sp macro="" textlink="" fLocksText="0">
      <xdr:nvSpPr>
        <xdr:cNvPr id="4097" name="Text Box 1">
          <a:extLst>
            <a:ext uri="{FF2B5EF4-FFF2-40B4-BE49-F238E27FC236}">
              <a16:creationId xmlns:a16="http://schemas.microsoft.com/office/drawing/2014/main" id="{00000000-0008-0000-0600-000001100000}"/>
            </a:ext>
          </a:extLst>
        </xdr:cNvPr>
        <xdr:cNvSpPr txBox="1">
          <a:spLocks noChangeArrowheads="1"/>
        </xdr:cNvSpPr>
      </xdr:nvSpPr>
      <xdr:spPr bwMode="auto">
        <a:xfrm>
          <a:off x="185106" y="195531"/>
          <a:ext cx="6823984" cy="1709469"/>
        </a:xfrm>
        <a:prstGeom prst="rect">
          <a:avLst/>
        </a:prstGeom>
        <a:noFill/>
        <a:ln w="9525">
          <a:noFill/>
          <a:miter lim="800000"/>
          <a:headEnd/>
          <a:tailEnd/>
        </a:ln>
      </xdr:spPr>
      <xdr:txBody>
        <a:bodyPr vertOverflow="clip" wrap="square" lIns="27432" tIns="27432" rIns="27432" bIns="0" anchor="t" upright="1"/>
        <a:lstStyle/>
        <a:p>
          <a:pPr algn="ctr" rtl="0">
            <a:defRPr sz="1000"/>
          </a:pPr>
          <a:r>
            <a:rPr lang="en-US" sz="1100" b="1" i="0" u="none" strike="noStrike" baseline="0">
              <a:solidFill>
                <a:srgbClr val="000000"/>
              </a:solidFill>
              <a:latin typeface="Arial"/>
              <a:cs typeface="Arial"/>
            </a:rPr>
            <a:t>COUNTY OF LOS ANGELES DEPARTMENT OF PUBLIC WORKS</a:t>
          </a:r>
        </a:p>
        <a:p>
          <a:pPr algn="ctr" rtl="0">
            <a:defRPr sz="1000"/>
          </a:pPr>
          <a:r>
            <a:rPr lang="en-US" sz="1100" b="1" i="0" u="none" strike="noStrike" baseline="0">
              <a:solidFill>
                <a:srgbClr val="000000"/>
              </a:solidFill>
              <a:latin typeface="Arial"/>
              <a:cs typeface="Arial"/>
            </a:rPr>
            <a:t>LAND DEVELOPMENT DIVISION</a:t>
          </a:r>
        </a:p>
        <a:p>
          <a:pPr algn="ctr" rtl="0">
            <a:defRPr sz="1000"/>
          </a:pPr>
          <a:r>
            <a:rPr lang="en-US" sz="1100" b="1" i="0" u="none" strike="noStrike" baseline="0">
              <a:solidFill>
                <a:srgbClr val="000000"/>
              </a:solidFill>
              <a:latin typeface="Arial"/>
              <a:cs typeface="Arial"/>
            </a:rPr>
            <a:t>WATER SYSTEMS</a:t>
          </a:r>
        </a:p>
        <a:p>
          <a:pPr algn="ctr" rtl="0">
            <a:defRPr sz="1000"/>
          </a:pPr>
          <a:r>
            <a:rPr lang="en-US" sz="1100" b="1" i="0" u="sng" strike="noStrike" baseline="0">
              <a:solidFill>
                <a:srgbClr val="000000"/>
              </a:solidFill>
              <a:latin typeface="Arial"/>
              <a:cs typeface="Arial"/>
            </a:rPr>
            <a:t>COST ESTIMATE FOR BOND PURPOSES</a:t>
          </a:r>
          <a:endParaRPr lang="en-US" sz="1100" b="0" i="0" u="none" strike="noStrike" baseline="0">
            <a:solidFill>
              <a:srgbClr val="000000"/>
            </a:solidFill>
            <a:latin typeface="Arial"/>
            <a:cs typeface="Arial"/>
          </a:endParaRP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WATER  IMPROVEMENTS FOR PARCEL MAP/TRACT NO._____________________________________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LOCATION_____________________________________________________________________________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PREPARED BY____________________ DATE_____________ CHECKED BY________ DATE__________</a:t>
          </a:r>
        </a:p>
        <a:p>
          <a:pPr algn="ctr" rtl="0">
            <a:defRPr sz="1000"/>
          </a:pPr>
          <a:endParaRPr lang="en-US" sz="1100" b="0" i="0" u="none" strike="noStrike" baseline="0">
            <a:solidFill>
              <a:srgbClr val="000000"/>
            </a:solidFill>
            <a:latin typeface="Arial"/>
            <a:cs typeface="Arial"/>
          </a:endParaRPr>
        </a:p>
      </xdr:txBody>
    </xdr:sp>
    <xdr:clientData fLocksWithSheet="0"/>
  </xdr:twoCellAnchor>
</xdr:wsDr>
</file>

<file path=xl/drawings/drawing7.xml><?xml version="1.0" encoding="utf-8"?>
<xdr:wsDr xmlns:xdr="http://schemas.openxmlformats.org/drawingml/2006/spreadsheetDrawing" xmlns:a="http://schemas.openxmlformats.org/drawingml/2006/main">
  <xdr:twoCellAnchor>
    <xdr:from>
      <xdr:col>0</xdr:col>
      <xdr:colOff>185106</xdr:colOff>
      <xdr:row>0</xdr:row>
      <xdr:rowOff>118431</xdr:rowOff>
    </xdr:from>
    <xdr:to>
      <xdr:col>6</xdr:col>
      <xdr:colOff>694014</xdr:colOff>
      <xdr:row>10</xdr:row>
      <xdr:rowOff>38126</xdr:rowOff>
    </xdr:to>
    <xdr:sp macro="" textlink="" fLocksText="0">
      <xdr:nvSpPr>
        <xdr:cNvPr id="7169" name="Text Box 1">
          <a:extLst>
            <a:ext uri="{FF2B5EF4-FFF2-40B4-BE49-F238E27FC236}">
              <a16:creationId xmlns:a16="http://schemas.microsoft.com/office/drawing/2014/main" id="{00000000-0008-0000-0700-0000011C0000}"/>
            </a:ext>
          </a:extLst>
        </xdr:cNvPr>
        <xdr:cNvSpPr txBox="1">
          <a:spLocks noChangeArrowheads="1"/>
        </xdr:cNvSpPr>
      </xdr:nvSpPr>
      <xdr:spPr bwMode="auto">
        <a:xfrm>
          <a:off x="196429" y="129754"/>
          <a:ext cx="6929674" cy="2064952"/>
        </a:xfrm>
        <a:prstGeom prst="rect">
          <a:avLst/>
        </a:prstGeom>
        <a:noFill/>
        <a:ln w="9525">
          <a:noFill/>
          <a:miter lim="800000"/>
          <a:headEnd/>
          <a:tailEnd/>
        </a:ln>
      </xdr:spPr>
      <xdr:txBody>
        <a:bodyPr vertOverflow="clip" wrap="square" lIns="27432" tIns="27432" rIns="27432" bIns="0" anchor="t" upright="1"/>
        <a:lstStyle/>
        <a:p>
          <a:pPr algn="ctr" rtl="0">
            <a:defRPr sz="1000"/>
          </a:pPr>
          <a:r>
            <a:rPr lang="en-US" sz="1100" b="1" i="0" u="none" strike="noStrike" baseline="0">
              <a:solidFill>
                <a:srgbClr val="000000"/>
              </a:solidFill>
              <a:latin typeface="Arial"/>
              <a:cs typeface="Arial"/>
            </a:rPr>
            <a:t>COUNTY OF LOS ANGELES DEPARTMENT OF PUBLIC WORKS</a:t>
          </a:r>
        </a:p>
        <a:p>
          <a:pPr algn="ctr" rtl="0">
            <a:defRPr sz="1000"/>
          </a:pPr>
          <a:r>
            <a:rPr lang="en-US" sz="1100" b="1" i="0" u="none" strike="noStrike" baseline="0">
              <a:solidFill>
                <a:srgbClr val="000000"/>
              </a:solidFill>
              <a:latin typeface="Arial"/>
              <a:cs typeface="Arial"/>
            </a:rPr>
            <a:t>LAND DEVELOPMENT DIVISION</a:t>
          </a:r>
        </a:p>
        <a:p>
          <a:pPr algn="ctr" rtl="0">
            <a:defRPr sz="1000"/>
          </a:pPr>
          <a:r>
            <a:rPr lang="en-US" sz="1100" b="1" i="0" u="none" strike="noStrike" baseline="0">
              <a:solidFill>
                <a:srgbClr val="000000"/>
              </a:solidFill>
              <a:latin typeface="Arial"/>
              <a:cs typeface="Arial"/>
            </a:rPr>
            <a:t>REGIONAL PLANNING ITEMS</a:t>
          </a:r>
        </a:p>
        <a:p>
          <a:pPr algn="ctr" rtl="0">
            <a:defRPr sz="1000"/>
          </a:pPr>
          <a:r>
            <a:rPr lang="en-US" sz="1100" b="1" i="0" u="sng" strike="noStrike" baseline="0">
              <a:solidFill>
                <a:srgbClr val="000000"/>
              </a:solidFill>
              <a:latin typeface="Arial"/>
              <a:cs typeface="Arial"/>
            </a:rPr>
            <a:t>COST ESTIMATE FOR BOND PURPOSES</a:t>
          </a:r>
          <a:endParaRPr lang="en-US" sz="1100" b="0" i="0" u="none" strike="noStrike" baseline="0">
            <a:solidFill>
              <a:srgbClr val="000000"/>
            </a:solidFill>
            <a:latin typeface="Arial"/>
            <a:cs typeface="Arial"/>
          </a:endParaRP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REGIONAL PLANNING ITEMS MAP/TRACT NO._______________________________________________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LOCATION_____________________________________________________________________________</a:t>
          </a:r>
        </a:p>
        <a:p>
          <a:pPr algn="ctr" rtl="0">
            <a:defRPr sz="1000"/>
          </a:pPr>
          <a:endParaRPr lang="en-US" sz="1100" b="0" i="0" u="none" strike="noStrike" baseline="0">
            <a:solidFill>
              <a:srgbClr val="000000"/>
            </a:solidFill>
            <a:latin typeface="Arial"/>
            <a:cs typeface="Arial"/>
          </a:endParaRPr>
        </a:p>
        <a:p>
          <a:pPr algn="ctr" rtl="0">
            <a:defRPr sz="1000"/>
          </a:pPr>
          <a:r>
            <a:rPr lang="en-US" sz="1100" b="0" i="0" u="none" strike="noStrike" baseline="0">
              <a:solidFill>
                <a:srgbClr val="000000"/>
              </a:solidFill>
              <a:latin typeface="Arial"/>
              <a:cs typeface="Arial"/>
            </a:rPr>
            <a:t>PREPARED BY____________________ DATE_____________ CHECKED BY________ DATE__________</a:t>
          </a:r>
        </a:p>
        <a:p>
          <a:pPr algn="ctr" rtl="0">
            <a:defRPr sz="1000"/>
          </a:pPr>
          <a:endParaRPr lang="en-US" sz="1100" b="0" i="0" u="none" strike="noStrike" baseline="0">
            <a:solidFill>
              <a:srgbClr val="000000"/>
            </a:solidFill>
            <a:latin typeface="Arial"/>
            <a:cs typeface="Arial"/>
          </a:endParaRPr>
        </a:p>
      </xdr:txBody>
    </xdr:sp>
    <xdr:clientData fLocksWithSheet="0"/>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file:///\\PW01\pwpublic\Permits\Admin\Permit%20Fee%20Adjustme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I45"/>
  <sheetViews>
    <sheetView zoomScale="85" zoomScaleNormal="85" zoomScaleSheetLayoutView="130" workbookViewId="0"/>
  </sheetViews>
  <sheetFormatPr defaultColWidth="9.08984375" defaultRowHeight="12.5" x14ac:dyDescent="0.25"/>
  <cols>
    <col min="1" max="16384" width="9.08984375" style="121"/>
  </cols>
  <sheetData>
    <row r="6" spans="1:9" ht="23" x14ac:dyDescent="0.5">
      <c r="A6" s="563" t="s">
        <v>218</v>
      </c>
      <c r="B6" s="563"/>
      <c r="C6" s="563"/>
      <c r="D6" s="563"/>
      <c r="E6" s="563"/>
      <c r="F6" s="563"/>
      <c r="G6" s="563"/>
      <c r="H6" s="563"/>
      <c r="I6" s="563"/>
    </row>
    <row r="7" spans="1:9" ht="23" x14ac:dyDescent="0.5">
      <c r="A7" s="225"/>
      <c r="B7" s="225"/>
      <c r="C7" s="225"/>
      <c r="D7" s="225"/>
      <c r="E7" s="225"/>
      <c r="F7" s="225"/>
      <c r="G7" s="225"/>
      <c r="H7" s="225"/>
      <c r="I7" s="225"/>
    </row>
    <row r="8" spans="1:9" ht="23" x14ac:dyDescent="0.5">
      <c r="A8" s="563" t="s">
        <v>219</v>
      </c>
      <c r="B8" s="563"/>
      <c r="C8" s="563"/>
      <c r="D8" s="563"/>
      <c r="E8" s="563"/>
      <c r="F8" s="563"/>
      <c r="G8" s="563"/>
      <c r="H8" s="563"/>
      <c r="I8" s="563"/>
    </row>
    <row r="9" spans="1:9" ht="23" x14ac:dyDescent="0.5">
      <c r="A9" s="225"/>
      <c r="B9" s="225"/>
      <c r="C9" s="225"/>
      <c r="D9" s="225"/>
      <c r="E9" s="225"/>
      <c r="F9" s="225"/>
      <c r="G9" s="225"/>
      <c r="H9" s="225"/>
      <c r="I9" s="225"/>
    </row>
    <row r="10" spans="1:9" ht="23" x14ac:dyDescent="0.5">
      <c r="A10" s="563" t="s">
        <v>220</v>
      </c>
      <c r="B10" s="563"/>
      <c r="C10" s="563"/>
      <c r="D10" s="563"/>
      <c r="E10" s="563"/>
      <c r="F10" s="563"/>
      <c r="G10" s="563"/>
      <c r="H10" s="563"/>
      <c r="I10" s="563"/>
    </row>
    <row r="11" spans="1:9" ht="13" x14ac:dyDescent="0.3">
      <c r="A11" s="226"/>
      <c r="B11" s="226"/>
      <c r="C11" s="226"/>
      <c r="D11" s="226"/>
      <c r="E11" s="226"/>
      <c r="F11" s="226"/>
      <c r="G11" s="226"/>
      <c r="H11" s="226"/>
      <c r="I11" s="226"/>
    </row>
    <row r="13" spans="1:9" ht="13" x14ac:dyDescent="0.3">
      <c r="A13" s="227"/>
      <c r="B13" s="227"/>
      <c r="C13" s="227"/>
      <c r="D13" s="227"/>
      <c r="E13" s="227"/>
      <c r="F13" s="227"/>
      <c r="G13" s="227"/>
      <c r="H13" s="227"/>
      <c r="I13" s="227"/>
    </row>
    <row r="14" spans="1:9" ht="13" x14ac:dyDescent="0.3">
      <c r="A14" s="227"/>
      <c r="B14" s="227"/>
      <c r="C14" s="227"/>
      <c r="D14" s="227"/>
      <c r="E14" s="227"/>
      <c r="F14" s="227"/>
      <c r="G14" s="227"/>
      <c r="H14" s="227"/>
      <c r="I14" s="227"/>
    </row>
    <row r="15" spans="1:9" ht="13" x14ac:dyDescent="0.3">
      <c r="A15" s="227"/>
      <c r="B15" s="227"/>
      <c r="C15" s="227"/>
      <c r="D15" s="227"/>
      <c r="E15" s="227"/>
      <c r="F15" s="227"/>
      <c r="G15" s="227"/>
      <c r="H15" s="227"/>
      <c r="I15" s="227"/>
    </row>
    <row r="16" spans="1:9" ht="13" x14ac:dyDescent="0.3">
      <c r="A16" s="227"/>
      <c r="B16" s="227"/>
      <c r="C16" s="227"/>
      <c r="D16" s="227"/>
      <c r="E16" s="227"/>
      <c r="F16" s="227"/>
      <c r="G16" s="227"/>
      <c r="H16" s="227"/>
      <c r="I16" s="227"/>
    </row>
    <row r="17" spans="1:9" ht="13" x14ac:dyDescent="0.3">
      <c r="A17" s="227"/>
      <c r="B17" s="227"/>
      <c r="C17" s="227"/>
      <c r="D17" s="227"/>
      <c r="E17" s="227"/>
      <c r="F17" s="227"/>
      <c r="G17" s="227"/>
      <c r="H17" s="227"/>
      <c r="I17" s="227"/>
    </row>
    <row r="18" spans="1:9" ht="13" x14ac:dyDescent="0.3">
      <c r="A18" s="227"/>
      <c r="B18" s="227"/>
      <c r="C18" s="227"/>
      <c r="D18" s="227"/>
      <c r="E18" s="227"/>
      <c r="F18" s="227"/>
      <c r="G18" s="227"/>
      <c r="H18" s="227"/>
      <c r="I18" s="227"/>
    </row>
    <row r="19" spans="1:9" ht="13" x14ac:dyDescent="0.3">
      <c r="A19" s="227"/>
      <c r="B19" s="227"/>
      <c r="C19" s="227"/>
      <c r="D19" s="227"/>
      <c r="E19" s="227"/>
      <c r="F19" s="227"/>
      <c r="G19" s="227"/>
      <c r="H19" s="227"/>
      <c r="I19" s="227"/>
    </row>
    <row r="20" spans="1:9" ht="13" x14ac:dyDescent="0.3">
      <c r="A20" s="227"/>
      <c r="B20" s="227"/>
      <c r="C20" s="227"/>
      <c r="D20" s="227"/>
      <c r="E20" s="227"/>
      <c r="F20" s="227"/>
      <c r="G20" s="227"/>
      <c r="H20" s="227"/>
      <c r="I20" s="227"/>
    </row>
    <row r="21" spans="1:9" ht="13" x14ac:dyDescent="0.3">
      <c r="A21" s="227"/>
      <c r="B21" s="227"/>
      <c r="C21" s="227"/>
      <c r="D21" s="227"/>
      <c r="E21" s="227"/>
      <c r="F21" s="227"/>
      <c r="G21" s="227"/>
      <c r="H21" s="227"/>
      <c r="I21" s="227"/>
    </row>
    <row r="22" spans="1:9" ht="13" x14ac:dyDescent="0.3">
      <c r="A22" s="227"/>
      <c r="B22" s="227"/>
      <c r="C22" s="227"/>
      <c r="D22" s="227"/>
      <c r="E22" s="227"/>
      <c r="F22" s="227"/>
      <c r="G22" s="227"/>
      <c r="H22" s="227"/>
      <c r="I22" s="227"/>
    </row>
    <row r="23" spans="1:9" ht="13" x14ac:dyDescent="0.3">
      <c r="A23" s="227"/>
      <c r="B23" s="227"/>
      <c r="C23" s="227"/>
      <c r="D23" s="227"/>
      <c r="E23" s="227"/>
      <c r="F23" s="227"/>
      <c r="G23" s="227"/>
      <c r="H23" s="227"/>
      <c r="I23" s="227"/>
    </row>
    <row r="24" spans="1:9" ht="13" x14ac:dyDescent="0.3">
      <c r="A24" s="227"/>
      <c r="B24" s="227"/>
      <c r="C24" s="227"/>
      <c r="D24" s="227"/>
      <c r="E24" s="227"/>
      <c r="F24" s="227"/>
      <c r="G24" s="227"/>
      <c r="H24" s="227"/>
      <c r="I24" s="227"/>
    </row>
    <row r="25" spans="1:9" ht="13" x14ac:dyDescent="0.3">
      <c r="A25" s="227"/>
      <c r="B25" s="227"/>
      <c r="C25" s="227"/>
      <c r="D25" s="227"/>
      <c r="E25" s="227"/>
      <c r="F25" s="227"/>
      <c r="G25" s="227"/>
      <c r="H25" s="227"/>
      <c r="I25" s="227"/>
    </row>
    <row r="26" spans="1:9" ht="13" x14ac:dyDescent="0.3">
      <c r="A26" s="227"/>
      <c r="B26" s="227"/>
      <c r="C26" s="227"/>
      <c r="D26" s="227"/>
      <c r="E26" s="227"/>
      <c r="F26" s="227"/>
      <c r="G26" s="227"/>
      <c r="H26" s="227"/>
      <c r="I26" s="227"/>
    </row>
    <row r="27" spans="1:9" ht="13" x14ac:dyDescent="0.3">
      <c r="A27" s="227"/>
      <c r="B27" s="227"/>
      <c r="C27" s="227"/>
      <c r="D27" s="227"/>
      <c r="E27" s="227"/>
      <c r="F27" s="227"/>
      <c r="G27" s="227"/>
      <c r="H27" s="227"/>
      <c r="I27" s="227"/>
    </row>
    <row r="28" spans="1:9" ht="13" x14ac:dyDescent="0.3">
      <c r="A28" s="227"/>
      <c r="B28" s="227"/>
      <c r="C28" s="227"/>
      <c r="D28" s="227"/>
      <c r="E28" s="227"/>
      <c r="F28" s="227"/>
      <c r="G28" s="227"/>
      <c r="H28" s="227"/>
      <c r="I28" s="227"/>
    </row>
    <row r="29" spans="1:9" ht="13" x14ac:dyDescent="0.3">
      <c r="A29" s="227"/>
      <c r="B29" s="227"/>
      <c r="C29" s="227"/>
      <c r="D29" s="227"/>
      <c r="E29" s="227"/>
      <c r="F29" s="227"/>
      <c r="G29" s="227"/>
      <c r="H29" s="227"/>
      <c r="I29" s="227"/>
    </row>
    <row r="30" spans="1:9" ht="13" x14ac:dyDescent="0.3">
      <c r="A30" s="227"/>
      <c r="B30" s="227"/>
      <c r="C30" s="227"/>
      <c r="D30" s="227"/>
      <c r="E30" s="227"/>
      <c r="F30" s="227"/>
      <c r="G30" s="227"/>
      <c r="H30" s="227"/>
      <c r="I30" s="227"/>
    </row>
    <row r="31" spans="1:9" ht="13" x14ac:dyDescent="0.3">
      <c r="A31" s="227"/>
      <c r="B31" s="227"/>
      <c r="C31" s="227"/>
      <c r="D31" s="227"/>
      <c r="E31" s="227"/>
      <c r="F31" s="227"/>
      <c r="G31" s="227"/>
      <c r="H31" s="227"/>
      <c r="I31" s="227"/>
    </row>
    <row r="32" spans="1:9" ht="13" x14ac:dyDescent="0.3">
      <c r="A32" s="227"/>
      <c r="B32" s="227"/>
      <c r="C32" s="227"/>
      <c r="D32" s="227"/>
      <c r="E32" s="227"/>
      <c r="F32" s="227"/>
      <c r="G32" s="227"/>
      <c r="H32" s="227"/>
      <c r="I32" s="227"/>
    </row>
    <row r="33" spans="1:9" ht="13" x14ac:dyDescent="0.3">
      <c r="A33" s="227"/>
      <c r="B33" s="227"/>
      <c r="C33" s="227"/>
      <c r="D33" s="227"/>
      <c r="E33" s="227"/>
      <c r="F33" s="227"/>
      <c r="G33" s="227"/>
      <c r="H33" s="227"/>
      <c r="I33" s="227"/>
    </row>
    <row r="34" spans="1:9" ht="13" x14ac:dyDescent="0.3">
      <c r="A34" s="227"/>
      <c r="B34" s="227"/>
      <c r="C34" s="227"/>
      <c r="D34" s="227"/>
      <c r="E34" s="227"/>
      <c r="F34" s="227"/>
      <c r="G34" s="227"/>
      <c r="H34" s="227"/>
      <c r="I34" s="227"/>
    </row>
    <row r="35" spans="1:9" ht="13" x14ac:dyDescent="0.3">
      <c r="A35" s="227"/>
      <c r="B35" s="227"/>
      <c r="C35" s="227"/>
      <c r="D35" s="227"/>
      <c r="E35" s="227"/>
      <c r="F35" s="227"/>
      <c r="G35" s="227"/>
      <c r="H35" s="227"/>
      <c r="I35" s="227"/>
    </row>
    <row r="36" spans="1:9" ht="13" x14ac:dyDescent="0.3">
      <c r="A36" s="227"/>
      <c r="B36" s="227"/>
      <c r="C36" s="227"/>
      <c r="D36" s="227"/>
      <c r="E36" s="227"/>
      <c r="F36" s="227"/>
      <c r="G36" s="227"/>
      <c r="H36" s="227"/>
      <c r="I36" s="227"/>
    </row>
    <row r="37" spans="1:9" ht="13" x14ac:dyDescent="0.3">
      <c r="A37" s="227"/>
      <c r="B37" s="227"/>
      <c r="C37" s="227"/>
      <c r="D37" s="227"/>
      <c r="E37" s="227"/>
      <c r="F37" s="227"/>
      <c r="G37" s="227"/>
      <c r="H37" s="227"/>
      <c r="I37" s="227"/>
    </row>
    <row r="38" spans="1:9" ht="13" x14ac:dyDescent="0.3">
      <c r="A38" s="227"/>
      <c r="B38" s="227"/>
      <c r="C38" s="227"/>
      <c r="D38" s="227"/>
      <c r="E38" s="227"/>
      <c r="F38" s="227"/>
      <c r="G38" s="227"/>
      <c r="H38" s="227"/>
      <c r="I38" s="227"/>
    </row>
    <row r="39" spans="1:9" ht="13" x14ac:dyDescent="0.3">
      <c r="A39" s="227"/>
      <c r="B39" s="227"/>
      <c r="C39" s="227"/>
      <c r="D39" s="227"/>
      <c r="E39" s="227"/>
      <c r="F39" s="227"/>
      <c r="G39" s="227"/>
      <c r="H39" s="227"/>
      <c r="I39" s="227"/>
    </row>
    <row r="40" spans="1:9" ht="13" x14ac:dyDescent="0.3">
      <c r="A40" s="227"/>
      <c r="B40" s="227"/>
      <c r="C40" s="227"/>
      <c r="D40" s="227"/>
      <c r="E40" s="227"/>
      <c r="F40" s="227"/>
      <c r="G40" s="227"/>
      <c r="H40" s="227"/>
      <c r="I40" s="227"/>
    </row>
    <row r="41" spans="1:9" ht="13" x14ac:dyDescent="0.3">
      <c r="A41" s="227"/>
      <c r="B41" s="227"/>
      <c r="C41" s="227"/>
      <c r="D41" s="227"/>
      <c r="E41" s="227"/>
      <c r="F41" s="227"/>
      <c r="G41" s="227"/>
      <c r="H41" s="227"/>
      <c r="I41" s="227"/>
    </row>
    <row r="42" spans="1:9" ht="14" x14ac:dyDescent="0.3">
      <c r="A42" s="227"/>
      <c r="B42" s="227"/>
      <c r="C42" s="227"/>
      <c r="E42" s="228" t="s">
        <v>564</v>
      </c>
      <c r="F42" s="227"/>
      <c r="G42" s="227"/>
      <c r="H42" s="227"/>
      <c r="I42" s="227"/>
    </row>
    <row r="43" spans="1:9" ht="13" x14ac:dyDescent="0.3">
      <c r="A43" s="227"/>
      <c r="B43" s="227"/>
      <c r="C43" s="227"/>
      <c r="D43" s="227"/>
      <c r="E43" s="227"/>
      <c r="F43" s="227"/>
      <c r="G43" s="227"/>
      <c r="H43" s="227"/>
      <c r="I43" s="227"/>
    </row>
    <row r="44" spans="1:9" ht="13" x14ac:dyDescent="0.3">
      <c r="A44" s="227"/>
      <c r="B44" s="227"/>
      <c r="C44" s="227"/>
      <c r="D44" s="227"/>
      <c r="E44" s="227"/>
      <c r="F44" s="227"/>
      <c r="G44" s="227"/>
      <c r="H44" s="227"/>
      <c r="I44" s="227"/>
    </row>
    <row r="45" spans="1:9" ht="13" x14ac:dyDescent="0.3">
      <c r="A45" s="227"/>
      <c r="B45" s="227"/>
      <c r="C45" s="227"/>
      <c r="D45" s="227"/>
      <c r="E45" s="227"/>
      <c r="F45" s="227"/>
      <c r="G45" s="227"/>
      <c r="H45" s="227"/>
      <c r="I45" s="227"/>
    </row>
  </sheetData>
  <sheetProtection algorithmName="SHA-512" hashValue="xgB2q5epmvmDnN9TCC6jBXAv+ULmd/bOpugb5VDqC10ugp5zo82V9pTGhSrS5ooOL53TbL3EP+UaeK6/dDWk2Q==" saltValue="2NEIfMWzvpLq0pIGc/wbaw==" spinCount="100000" sheet="1" selectLockedCells="1"/>
  <customSheetViews>
    <customSheetView guid="{0CFDFAE3-BA5A-49B1-8AEF-ACE06B5A41A2}">
      <pageMargins left="0.75" right="0.75" top="1" bottom="1" header="0.5" footer="0.5"/>
      <printOptions horizontalCentered="1"/>
      <pageSetup orientation="portrait" r:id="rId1"/>
      <headerFooter alignWithMargins="0"/>
    </customSheetView>
  </customSheetViews>
  <mergeCells count="3">
    <mergeCell ref="A6:I6"/>
    <mergeCell ref="A8:I8"/>
    <mergeCell ref="A10:I10"/>
  </mergeCells>
  <phoneticPr fontId="0" type="noConversion"/>
  <printOptions horizontalCentered="1"/>
  <pageMargins left="0.75" right="0.75" top="1" bottom="1" header="0.5" footer="0.5"/>
  <pageSetup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208"/>
  <sheetViews>
    <sheetView topLeftCell="A9" zoomScaleNormal="100" zoomScaleSheetLayoutView="100" workbookViewId="0">
      <selection activeCell="B118" sqref="B118"/>
    </sheetView>
  </sheetViews>
  <sheetFormatPr defaultColWidth="9.08984375" defaultRowHeight="12.5" x14ac:dyDescent="0.25"/>
  <cols>
    <col min="1" max="1" width="47.6328125" style="121" customWidth="1"/>
    <col min="2" max="2" width="11.453125" style="205" customWidth="1"/>
    <col min="3" max="3" width="12.08984375" style="206" customWidth="1"/>
    <col min="4" max="4" width="19.54296875" style="206" hidden="1" customWidth="1"/>
    <col min="5" max="5" width="8.36328125" style="206" customWidth="1"/>
    <col min="6" max="6" width="15.08984375" style="121" customWidth="1"/>
    <col min="7" max="7" width="20.36328125" style="121" hidden="1" customWidth="1"/>
    <col min="8" max="8" width="14.08984375" style="121" customWidth="1"/>
    <col min="9" max="9" width="11.36328125" style="121" hidden="1" customWidth="1"/>
    <col min="10" max="10" width="11.6328125" style="121" customWidth="1"/>
    <col min="11" max="13" width="11.36328125" style="121" bestFit="1" customWidth="1"/>
    <col min="14" max="16384" width="9.08984375" style="121"/>
  </cols>
  <sheetData>
    <row r="1" spans="1:14" ht="13" x14ac:dyDescent="0.3">
      <c r="A1" s="118"/>
      <c r="B1" s="119"/>
      <c r="C1" s="120"/>
      <c r="D1" s="120"/>
      <c r="E1" s="120"/>
      <c r="F1" s="118"/>
      <c r="G1" s="118"/>
      <c r="H1" s="118"/>
      <c r="I1" s="118"/>
      <c r="J1" s="118"/>
    </row>
    <row r="2" spans="1:14" x14ac:dyDescent="0.25">
      <c r="A2" s="118"/>
      <c r="B2" s="122"/>
      <c r="C2" s="120"/>
      <c r="D2" s="120"/>
      <c r="E2" s="120"/>
      <c r="F2" s="118"/>
      <c r="G2" s="118"/>
      <c r="H2" s="118"/>
      <c r="I2" s="118"/>
      <c r="J2" s="118"/>
    </row>
    <row r="3" spans="1:14" x14ac:dyDescent="0.25">
      <c r="A3" s="118"/>
      <c r="B3" s="122"/>
      <c r="C3" s="120"/>
      <c r="D3" s="120"/>
      <c r="E3" s="120"/>
      <c r="F3" s="118"/>
      <c r="G3" s="118"/>
      <c r="H3" s="118"/>
      <c r="I3" s="118"/>
      <c r="J3" s="118"/>
    </row>
    <row r="4" spans="1:14" x14ac:dyDescent="0.25">
      <c r="A4" s="118"/>
      <c r="B4" s="122"/>
      <c r="C4" s="120"/>
      <c r="D4" s="120"/>
      <c r="E4" s="120"/>
      <c r="F4" s="118"/>
      <c r="G4" s="118"/>
      <c r="H4" s="118"/>
      <c r="I4" s="118"/>
      <c r="J4" s="118"/>
    </row>
    <row r="5" spans="1:14" x14ac:dyDescent="0.25">
      <c r="A5" s="118"/>
      <c r="B5" s="122"/>
      <c r="C5" s="120"/>
      <c r="D5" s="120"/>
      <c r="E5" s="120"/>
      <c r="F5" s="118"/>
      <c r="G5" s="118"/>
      <c r="H5" s="118"/>
      <c r="I5" s="118"/>
      <c r="J5" s="118"/>
    </row>
    <row r="6" spans="1:14" x14ac:dyDescent="0.25">
      <c r="A6" s="118"/>
      <c r="B6" s="122"/>
      <c r="C6" s="120"/>
      <c r="D6" s="120"/>
      <c r="E6" s="120"/>
      <c r="F6" s="118"/>
      <c r="G6" s="118"/>
      <c r="H6" s="118"/>
      <c r="I6" s="118"/>
      <c r="J6" s="118"/>
    </row>
    <row r="7" spans="1:14" x14ac:dyDescent="0.25">
      <c r="A7" s="118"/>
      <c r="B7" s="122"/>
      <c r="C7" s="120"/>
      <c r="D7" s="120"/>
      <c r="E7" s="120"/>
      <c r="F7" s="118"/>
      <c r="G7" s="118"/>
      <c r="H7" s="118"/>
      <c r="I7" s="118"/>
      <c r="J7" s="118"/>
    </row>
    <row r="8" spans="1:14" x14ac:dyDescent="0.25">
      <c r="A8" s="118"/>
      <c r="B8" s="122"/>
      <c r="C8" s="120"/>
      <c r="D8" s="120"/>
      <c r="E8" s="120"/>
      <c r="F8" s="118"/>
      <c r="G8" s="118"/>
      <c r="H8" s="118"/>
      <c r="I8" s="118"/>
      <c r="J8" s="118"/>
    </row>
    <row r="9" spans="1:14" x14ac:dyDescent="0.25">
      <c r="A9" s="118"/>
      <c r="B9" s="122"/>
      <c r="C9" s="120"/>
      <c r="D9" s="120"/>
      <c r="E9" s="120"/>
      <c r="F9" s="118"/>
      <c r="G9" s="118"/>
      <c r="H9" s="118"/>
      <c r="I9" s="118"/>
      <c r="J9" s="118"/>
    </row>
    <row r="10" spans="1:14" x14ac:dyDescent="0.25">
      <c r="A10" s="118"/>
      <c r="B10" s="122"/>
      <c r="C10" s="120"/>
      <c r="D10" s="120"/>
      <c r="E10" s="120"/>
      <c r="F10" s="118"/>
      <c r="G10" s="118"/>
      <c r="H10" s="118"/>
      <c r="I10" s="118"/>
      <c r="J10" s="118"/>
    </row>
    <row r="11" spans="1:14" ht="13" thickBot="1" x14ac:dyDescent="0.3">
      <c r="A11" s="118"/>
      <c r="B11" s="122"/>
      <c r="C11" s="120"/>
      <c r="D11" s="120"/>
      <c r="E11" s="120"/>
      <c r="F11" s="118"/>
      <c r="G11" s="118"/>
      <c r="H11" s="118"/>
      <c r="I11" s="118"/>
      <c r="J11" s="118"/>
    </row>
    <row r="12" spans="1:14" ht="13.5" thickBot="1" x14ac:dyDescent="0.35">
      <c r="A12" s="564" t="s">
        <v>430</v>
      </c>
      <c r="B12" s="565"/>
      <c r="C12" s="565"/>
      <c r="D12" s="565"/>
      <c r="E12" s="565"/>
      <c r="F12" s="565"/>
      <c r="G12" s="565"/>
      <c r="H12" s="566"/>
      <c r="I12" s="118"/>
      <c r="J12" s="118"/>
    </row>
    <row r="13" spans="1:14" ht="13.5" thickBot="1" x14ac:dyDescent="0.35">
      <c r="A13" s="233" t="s">
        <v>0</v>
      </c>
      <c r="B13" s="234" t="s">
        <v>1</v>
      </c>
      <c r="C13" s="567" t="s">
        <v>2</v>
      </c>
      <c r="D13" s="568"/>
      <c r="E13" s="568"/>
      <c r="F13" s="569"/>
      <c r="G13" s="235"/>
      <c r="H13" s="233" t="s">
        <v>3</v>
      </c>
      <c r="I13" s="118"/>
      <c r="J13" s="118"/>
    </row>
    <row r="14" spans="1:14" x14ac:dyDescent="0.25">
      <c r="A14" s="125"/>
      <c r="B14" s="126"/>
      <c r="C14" s="570" t="s">
        <v>63</v>
      </c>
      <c r="D14" s="571"/>
      <c r="E14" s="572"/>
      <c r="F14" s="96" t="s">
        <v>62</v>
      </c>
      <c r="G14" s="173"/>
      <c r="H14" s="127"/>
      <c r="I14" s="118"/>
      <c r="J14" s="118"/>
    </row>
    <row r="15" spans="1:14" ht="13" x14ac:dyDescent="0.3">
      <c r="A15" s="236" t="s">
        <v>4</v>
      </c>
      <c r="B15" s="129"/>
      <c r="C15" s="130"/>
      <c r="D15" s="237" t="s">
        <v>498</v>
      </c>
      <c r="E15" s="132"/>
      <c r="F15" s="132"/>
      <c r="G15" s="237" t="s">
        <v>498</v>
      </c>
      <c r="H15" s="66"/>
      <c r="I15" s="118"/>
      <c r="J15" s="118"/>
    </row>
    <row r="16" spans="1:14" x14ac:dyDescent="0.25">
      <c r="A16" s="128" t="s">
        <v>303</v>
      </c>
      <c r="B16" s="4"/>
      <c r="C16" s="68">
        <f>ROUND(CPI*D16,2)</f>
        <v>0.98</v>
      </c>
      <c r="D16" s="237">
        <v>0.73</v>
      </c>
      <c r="E16" s="132" t="s">
        <v>60</v>
      </c>
      <c r="F16" s="68">
        <f>ROUND(CPI*G16,2)</f>
        <v>1.42</v>
      </c>
      <c r="G16" s="237">
        <v>1.06</v>
      </c>
      <c r="H16" s="97">
        <f t="shared" ref="H16:H23" si="0">IF($B$141="Yes",B16*F16,B16*C16)</f>
        <v>0</v>
      </c>
      <c r="I16" s="238"/>
      <c r="J16" s="238"/>
      <c r="K16" s="164"/>
      <c r="L16" s="158"/>
      <c r="M16" s="164"/>
      <c r="N16" s="239"/>
    </row>
    <row r="17" spans="1:25" x14ac:dyDescent="0.25">
      <c r="A17" s="128" t="s">
        <v>304</v>
      </c>
      <c r="B17" s="4"/>
      <c r="C17" s="68">
        <f t="shared" ref="C17:C22" si="1">ROUND(CPI*D17,2)</f>
        <v>1.44</v>
      </c>
      <c r="D17" s="237">
        <v>1.08</v>
      </c>
      <c r="E17" s="132" t="s">
        <v>60</v>
      </c>
      <c r="F17" s="68">
        <f t="shared" ref="F17:F22" si="2">ROUND(CPI*G17,2)</f>
        <v>1.82</v>
      </c>
      <c r="G17" s="237">
        <v>1.36</v>
      </c>
      <c r="H17" s="97">
        <f t="shared" si="0"/>
        <v>0</v>
      </c>
      <c r="I17" s="238"/>
      <c r="J17" s="238"/>
      <c r="K17" s="164"/>
      <c r="L17" s="158"/>
      <c r="M17" s="164"/>
      <c r="N17" s="239"/>
    </row>
    <row r="18" spans="1:25" x14ac:dyDescent="0.25">
      <c r="A18" s="128" t="s">
        <v>305</v>
      </c>
      <c r="B18" s="4"/>
      <c r="C18" s="68">
        <f t="shared" si="1"/>
        <v>1.86</v>
      </c>
      <c r="D18" s="237">
        <v>1.39</v>
      </c>
      <c r="E18" s="132" t="s">
        <v>60</v>
      </c>
      <c r="F18" s="68">
        <f t="shared" si="2"/>
        <v>2.23</v>
      </c>
      <c r="G18" s="237">
        <v>1.67</v>
      </c>
      <c r="H18" s="97">
        <f t="shared" si="0"/>
        <v>0</v>
      </c>
      <c r="I18" s="238"/>
      <c r="J18" s="238"/>
      <c r="K18" s="164"/>
      <c r="L18" s="158"/>
      <c r="M18" s="164"/>
      <c r="N18" s="239"/>
    </row>
    <row r="19" spans="1:25" x14ac:dyDescent="0.25">
      <c r="A19" s="128" t="s">
        <v>306</v>
      </c>
      <c r="B19" s="4"/>
      <c r="C19" s="68">
        <f t="shared" si="1"/>
        <v>2.4900000000000002</v>
      </c>
      <c r="D19" s="237">
        <v>1.86</v>
      </c>
      <c r="E19" s="132" t="s">
        <v>60</v>
      </c>
      <c r="F19" s="68">
        <f t="shared" si="2"/>
        <v>3.03</v>
      </c>
      <c r="G19" s="237">
        <v>2.27</v>
      </c>
      <c r="H19" s="97">
        <f t="shared" si="0"/>
        <v>0</v>
      </c>
      <c r="I19" s="238"/>
      <c r="J19" s="238"/>
      <c r="K19" s="164"/>
      <c r="L19" s="158"/>
      <c r="M19" s="164"/>
      <c r="N19" s="239"/>
    </row>
    <row r="20" spans="1:25" x14ac:dyDescent="0.25">
      <c r="A20" s="128" t="s">
        <v>91</v>
      </c>
      <c r="B20" s="4"/>
      <c r="C20" s="68">
        <f t="shared" si="1"/>
        <v>3.71</v>
      </c>
      <c r="D20" s="237">
        <v>2.78</v>
      </c>
      <c r="E20" s="132" t="s">
        <v>60</v>
      </c>
      <c r="F20" s="68">
        <f t="shared" si="2"/>
        <v>4.82</v>
      </c>
      <c r="G20" s="237">
        <v>3.61</v>
      </c>
      <c r="H20" s="97">
        <f t="shared" si="0"/>
        <v>0</v>
      </c>
      <c r="I20" s="238"/>
      <c r="J20" s="238"/>
      <c r="K20" s="164"/>
      <c r="L20" s="158"/>
      <c r="M20" s="164"/>
      <c r="N20" s="239"/>
    </row>
    <row r="21" spans="1:25" x14ac:dyDescent="0.25">
      <c r="A21" s="128" t="s">
        <v>87</v>
      </c>
      <c r="B21" s="4"/>
      <c r="C21" s="68">
        <f t="shared" si="1"/>
        <v>2.97</v>
      </c>
      <c r="D21" s="237">
        <v>2.2200000000000002</v>
      </c>
      <c r="E21" s="132" t="s">
        <v>60</v>
      </c>
      <c r="F21" s="68">
        <f t="shared" si="2"/>
        <v>4.1399999999999997</v>
      </c>
      <c r="G21" s="237">
        <v>3.1</v>
      </c>
      <c r="H21" s="97">
        <f t="shared" si="0"/>
        <v>0</v>
      </c>
      <c r="I21" s="238"/>
      <c r="J21" s="238"/>
      <c r="K21" s="164"/>
      <c r="L21" s="158"/>
      <c r="M21" s="164"/>
      <c r="N21" s="239"/>
    </row>
    <row r="22" spans="1:25" x14ac:dyDescent="0.25">
      <c r="A22" s="128" t="s">
        <v>90</v>
      </c>
      <c r="B22" s="4"/>
      <c r="C22" s="68">
        <f t="shared" si="1"/>
        <v>1.04</v>
      </c>
      <c r="D22" s="237">
        <v>0.78</v>
      </c>
      <c r="E22" s="132" t="s">
        <v>60</v>
      </c>
      <c r="F22" s="68">
        <f t="shared" si="2"/>
        <v>1.78</v>
      </c>
      <c r="G22" s="237">
        <v>1.33</v>
      </c>
      <c r="H22" s="97">
        <f t="shared" si="0"/>
        <v>0</v>
      </c>
      <c r="I22" s="238"/>
      <c r="J22" s="238"/>
      <c r="K22" s="164"/>
      <c r="L22" s="158"/>
      <c r="M22" s="164"/>
      <c r="N22" s="239"/>
    </row>
    <row r="23" spans="1:25" x14ac:dyDescent="0.25">
      <c r="A23" s="23"/>
      <c r="B23" s="4"/>
      <c r="C23" s="60">
        <v>0</v>
      </c>
      <c r="D23" s="237"/>
      <c r="E23" s="132" t="s">
        <v>60</v>
      </c>
      <c r="F23" s="68">
        <v>0</v>
      </c>
      <c r="G23" s="237"/>
      <c r="H23" s="97">
        <f t="shared" si="0"/>
        <v>0</v>
      </c>
      <c r="I23" s="238"/>
      <c r="J23" s="238"/>
      <c r="K23" s="164"/>
      <c r="L23" s="158"/>
      <c r="M23" s="164"/>
      <c r="N23" s="239"/>
    </row>
    <row r="24" spans="1:25" x14ac:dyDescent="0.25">
      <c r="A24" s="240"/>
      <c r="B24" s="241"/>
      <c r="C24" s="164"/>
      <c r="D24" s="242"/>
      <c r="E24" s="165"/>
      <c r="F24" s="165"/>
      <c r="G24" s="243"/>
      <c r="H24" s="244"/>
      <c r="I24" s="238"/>
      <c r="J24" s="238"/>
      <c r="K24" s="164"/>
      <c r="L24" s="158"/>
      <c r="M24" s="165"/>
      <c r="N24" s="239"/>
    </row>
    <row r="25" spans="1:25" ht="13" x14ac:dyDescent="0.3">
      <c r="A25" s="236" t="s">
        <v>9</v>
      </c>
      <c r="B25" s="241"/>
      <c r="C25" s="164"/>
      <c r="D25" s="242"/>
      <c r="E25" s="165"/>
      <c r="F25" s="165"/>
      <c r="G25" s="243"/>
      <c r="H25" s="244"/>
      <c r="I25" s="238"/>
      <c r="J25" s="238"/>
      <c r="K25" s="164"/>
      <c r="L25" s="158"/>
      <c r="M25" s="165"/>
      <c r="N25" s="239"/>
    </row>
    <row r="26" spans="1:25" x14ac:dyDescent="0.25">
      <c r="A26" s="128" t="s">
        <v>10</v>
      </c>
      <c r="B26" s="4"/>
      <c r="C26" s="68">
        <f t="shared" ref="C26:C37" si="3">ROUND(CPI*D26,2)</f>
        <v>5.18</v>
      </c>
      <c r="D26" s="237">
        <v>3.88</v>
      </c>
      <c r="E26" s="132" t="s">
        <v>60</v>
      </c>
      <c r="F26" s="68">
        <f t="shared" ref="F26:F37" si="4">ROUND(CPI*G26,2)</f>
        <v>5.84</v>
      </c>
      <c r="G26" s="237">
        <v>4.37</v>
      </c>
      <c r="H26" s="97">
        <f t="shared" ref="H26:H38" si="5">IF($B$141="Yes",B26*F26,B26*C26)</f>
        <v>0</v>
      </c>
      <c r="I26" s="238"/>
      <c r="J26" s="238"/>
      <c r="K26" s="164"/>
      <c r="L26" s="158"/>
      <c r="M26" s="164"/>
      <c r="N26" s="134"/>
      <c r="O26" s="134"/>
      <c r="P26" s="134"/>
      <c r="Q26" s="134"/>
      <c r="R26" s="134"/>
      <c r="S26" s="134"/>
      <c r="T26" s="134"/>
      <c r="U26" s="134"/>
      <c r="V26" s="134"/>
      <c r="W26" s="134"/>
      <c r="X26" s="134"/>
      <c r="Y26" s="134"/>
    </row>
    <row r="27" spans="1:25" x14ac:dyDescent="0.25">
      <c r="A27" s="128" t="s">
        <v>11</v>
      </c>
      <c r="B27" s="4"/>
      <c r="C27" s="68">
        <f t="shared" si="3"/>
        <v>5.48</v>
      </c>
      <c r="D27" s="237">
        <v>4.0999999999999996</v>
      </c>
      <c r="E27" s="132" t="s">
        <v>60</v>
      </c>
      <c r="F27" s="68">
        <f t="shared" si="4"/>
        <v>6.27</v>
      </c>
      <c r="G27" s="237">
        <v>4.6900000000000004</v>
      </c>
      <c r="H27" s="97">
        <f t="shared" si="5"/>
        <v>0</v>
      </c>
      <c r="I27" s="238"/>
      <c r="J27" s="238"/>
      <c r="K27" s="164"/>
      <c r="L27" s="158"/>
      <c r="M27" s="164"/>
      <c r="N27" s="134"/>
      <c r="O27" s="134"/>
      <c r="P27" s="134"/>
      <c r="Q27" s="134"/>
      <c r="R27" s="134"/>
      <c r="S27" s="134"/>
      <c r="T27" s="134"/>
      <c r="U27" s="134"/>
      <c r="V27" s="134"/>
      <c r="W27" s="134"/>
      <c r="X27" s="134"/>
      <c r="Y27" s="134"/>
    </row>
    <row r="28" spans="1:25" x14ac:dyDescent="0.25">
      <c r="A28" s="128" t="s">
        <v>12</v>
      </c>
      <c r="B28" s="4"/>
      <c r="C28" s="68">
        <f t="shared" si="3"/>
        <v>6.99</v>
      </c>
      <c r="D28" s="237">
        <v>5.23</v>
      </c>
      <c r="E28" s="132" t="s">
        <v>60</v>
      </c>
      <c r="F28" s="68">
        <f t="shared" si="4"/>
        <v>7.92</v>
      </c>
      <c r="G28" s="237">
        <v>5.93</v>
      </c>
      <c r="H28" s="97">
        <f t="shared" si="5"/>
        <v>0</v>
      </c>
      <c r="I28" s="238"/>
      <c r="J28" s="238"/>
      <c r="K28" s="164"/>
      <c r="L28" s="158"/>
      <c r="M28" s="164"/>
      <c r="N28" s="138"/>
      <c r="O28" s="134"/>
      <c r="P28" s="134"/>
      <c r="Q28" s="138"/>
      <c r="R28" s="134"/>
      <c r="S28" s="134"/>
      <c r="T28" s="138"/>
      <c r="U28" s="134"/>
      <c r="V28" s="134"/>
      <c r="W28" s="138"/>
      <c r="X28" s="134"/>
      <c r="Y28" s="134"/>
    </row>
    <row r="29" spans="1:25" x14ac:dyDescent="0.25">
      <c r="A29" s="128" t="s">
        <v>14</v>
      </c>
      <c r="B29" s="4"/>
      <c r="C29" s="68">
        <f t="shared" si="3"/>
        <v>5.41</v>
      </c>
      <c r="D29" s="237">
        <v>4.05</v>
      </c>
      <c r="E29" s="132" t="s">
        <v>60</v>
      </c>
      <c r="F29" s="68">
        <f t="shared" si="4"/>
        <v>6.27</v>
      </c>
      <c r="G29" s="237">
        <v>4.6900000000000004</v>
      </c>
      <c r="H29" s="97">
        <f t="shared" si="5"/>
        <v>0</v>
      </c>
      <c r="I29" s="238"/>
      <c r="J29" s="238"/>
      <c r="K29" s="164"/>
      <c r="L29" s="158"/>
      <c r="M29" s="164"/>
      <c r="N29" s="140"/>
      <c r="O29" s="140"/>
      <c r="P29" s="140"/>
      <c r="Q29" s="140"/>
      <c r="R29" s="140"/>
      <c r="S29" s="140"/>
      <c r="T29" s="140"/>
      <c r="U29" s="140"/>
      <c r="V29" s="140"/>
      <c r="W29" s="140"/>
      <c r="X29" s="140"/>
      <c r="Y29" s="140"/>
    </row>
    <row r="30" spans="1:25" x14ac:dyDescent="0.25">
      <c r="A30" s="128" t="s">
        <v>13</v>
      </c>
      <c r="B30" s="4"/>
      <c r="C30" s="68">
        <f t="shared" si="3"/>
        <v>4.46</v>
      </c>
      <c r="D30" s="237">
        <v>3.34</v>
      </c>
      <c r="E30" s="132" t="s">
        <v>60</v>
      </c>
      <c r="F30" s="68">
        <f t="shared" si="4"/>
        <v>5.69</v>
      </c>
      <c r="G30" s="237">
        <v>4.26</v>
      </c>
      <c r="H30" s="97">
        <f t="shared" si="5"/>
        <v>0</v>
      </c>
      <c r="I30" s="238"/>
      <c r="J30" s="238"/>
      <c r="K30" s="164"/>
      <c r="L30" s="158"/>
      <c r="M30" s="164"/>
      <c r="N30" s="134"/>
      <c r="O30" s="134"/>
      <c r="P30" s="134"/>
      <c r="Q30" s="134"/>
      <c r="R30" s="134"/>
      <c r="S30" s="134"/>
      <c r="T30" s="134"/>
      <c r="U30" s="134"/>
      <c r="V30" s="134"/>
      <c r="W30" s="134"/>
      <c r="X30" s="134"/>
      <c r="Y30" s="134"/>
    </row>
    <row r="31" spans="1:25" x14ac:dyDescent="0.25">
      <c r="A31" s="128" t="s">
        <v>307</v>
      </c>
      <c r="B31" s="4"/>
      <c r="C31" s="68">
        <f t="shared" si="3"/>
        <v>5.48</v>
      </c>
      <c r="D31" s="237">
        <v>4.0999999999999996</v>
      </c>
      <c r="E31" s="132" t="s">
        <v>60</v>
      </c>
      <c r="F31" s="68">
        <f t="shared" si="4"/>
        <v>6.27</v>
      </c>
      <c r="G31" s="237">
        <v>4.6900000000000004</v>
      </c>
      <c r="H31" s="97">
        <f t="shared" si="5"/>
        <v>0</v>
      </c>
      <c r="I31" s="238"/>
      <c r="J31" s="238"/>
      <c r="K31" s="164"/>
      <c r="L31" s="158"/>
      <c r="M31" s="164"/>
      <c r="N31" s="134"/>
      <c r="O31" s="134"/>
      <c r="P31" s="134"/>
      <c r="Q31" s="134"/>
      <c r="R31" s="134"/>
      <c r="S31" s="134"/>
      <c r="T31" s="134"/>
      <c r="U31" s="134"/>
      <c r="V31" s="134"/>
      <c r="W31" s="134"/>
      <c r="X31" s="134"/>
      <c r="Y31" s="134"/>
    </row>
    <row r="32" spans="1:25" x14ac:dyDescent="0.25">
      <c r="A32" s="128" t="s">
        <v>308</v>
      </c>
      <c r="B32" s="4"/>
      <c r="C32" s="68">
        <f t="shared" si="3"/>
        <v>2254.77</v>
      </c>
      <c r="D32" s="237">
        <v>1687.39</v>
      </c>
      <c r="E32" s="132" t="s">
        <v>57</v>
      </c>
      <c r="F32" s="68">
        <f t="shared" si="4"/>
        <v>2816.52</v>
      </c>
      <c r="G32" s="68">
        <v>2107.7800000000002</v>
      </c>
      <c r="H32" s="97">
        <f t="shared" si="5"/>
        <v>0</v>
      </c>
      <c r="I32" s="238"/>
      <c r="J32" s="238"/>
      <c r="K32" s="164"/>
      <c r="L32" s="158"/>
      <c r="M32" s="164"/>
      <c r="N32" s="134"/>
      <c r="O32" s="134"/>
      <c r="P32" s="134"/>
      <c r="Q32" s="134"/>
      <c r="R32" s="134"/>
      <c r="S32" s="134"/>
      <c r="T32" s="134"/>
      <c r="U32" s="134"/>
      <c r="V32" s="134"/>
      <c r="W32" s="134"/>
      <c r="X32" s="134"/>
      <c r="Y32" s="134"/>
    </row>
    <row r="33" spans="1:14" x14ac:dyDescent="0.25">
      <c r="A33" s="128" t="s">
        <v>78</v>
      </c>
      <c r="B33" s="4"/>
      <c r="C33" s="68">
        <f t="shared" si="3"/>
        <v>7.56</v>
      </c>
      <c r="D33" s="237">
        <v>5.66</v>
      </c>
      <c r="E33" s="132" t="s">
        <v>60</v>
      </c>
      <c r="F33" s="68">
        <f t="shared" si="4"/>
        <v>8.5</v>
      </c>
      <c r="G33" s="237">
        <v>6.36</v>
      </c>
      <c r="H33" s="97">
        <f t="shared" si="5"/>
        <v>0</v>
      </c>
      <c r="I33" s="238"/>
      <c r="J33" s="238"/>
      <c r="K33" s="164"/>
      <c r="L33" s="158"/>
      <c r="M33" s="164"/>
      <c r="N33" s="239"/>
    </row>
    <row r="34" spans="1:14" x14ac:dyDescent="0.25">
      <c r="A34" s="128" t="s">
        <v>16</v>
      </c>
      <c r="B34" s="4"/>
      <c r="C34" s="68">
        <f t="shared" si="3"/>
        <v>11.88</v>
      </c>
      <c r="D34" s="237">
        <v>8.89</v>
      </c>
      <c r="E34" s="132" t="s">
        <v>60</v>
      </c>
      <c r="F34" s="68">
        <f t="shared" si="4"/>
        <v>20.02</v>
      </c>
      <c r="G34" s="237">
        <v>14.98</v>
      </c>
      <c r="H34" s="97">
        <f t="shared" si="5"/>
        <v>0</v>
      </c>
      <c r="I34" s="238"/>
      <c r="J34" s="238"/>
      <c r="K34" s="164"/>
      <c r="L34" s="158"/>
      <c r="M34" s="164"/>
      <c r="N34" s="239"/>
    </row>
    <row r="35" spans="1:14" x14ac:dyDescent="0.25">
      <c r="A35" s="128" t="s">
        <v>17</v>
      </c>
      <c r="B35" s="4"/>
      <c r="C35" s="68">
        <f t="shared" si="3"/>
        <v>13.39</v>
      </c>
      <c r="D35" s="237">
        <v>10.02</v>
      </c>
      <c r="E35" s="132" t="s">
        <v>60</v>
      </c>
      <c r="F35" s="68">
        <f t="shared" si="4"/>
        <v>22.97</v>
      </c>
      <c r="G35" s="237">
        <v>17.190000000000001</v>
      </c>
      <c r="H35" s="97">
        <f t="shared" si="5"/>
        <v>0</v>
      </c>
      <c r="I35" s="238"/>
      <c r="J35" s="238"/>
      <c r="K35" s="164"/>
      <c r="L35" s="158"/>
      <c r="M35" s="164"/>
      <c r="N35" s="239"/>
    </row>
    <row r="36" spans="1:14" x14ac:dyDescent="0.25">
      <c r="A36" s="128" t="s">
        <v>18</v>
      </c>
      <c r="B36" s="4"/>
      <c r="C36" s="68">
        <f t="shared" si="3"/>
        <v>5.18</v>
      </c>
      <c r="D36" s="237">
        <v>3.88</v>
      </c>
      <c r="E36" s="132" t="s">
        <v>60</v>
      </c>
      <c r="F36" s="68">
        <f t="shared" si="4"/>
        <v>5.99</v>
      </c>
      <c r="G36" s="237">
        <v>4.4800000000000004</v>
      </c>
      <c r="H36" s="97">
        <f t="shared" si="5"/>
        <v>0</v>
      </c>
      <c r="I36" s="238"/>
      <c r="J36" s="238"/>
      <c r="K36" s="164"/>
      <c r="L36" s="158"/>
      <c r="M36" s="164"/>
      <c r="N36" s="239"/>
    </row>
    <row r="37" spans="1:14" x14ac:dyDescent="0.25">
      <c r="A37" s="143" t="s">
        <v>19</v>
      </c>
      <c r="B37" s="5"/>
      <c r="C37" s="68">
        <f t="shared" si="3"/>
        <v>890.34</v>
      </c>
      <c r="D37" s="245">
        <v>666.3</v>
      </c>
      <c r="E37" s="145" t="s">
        <v>61</v>
      </c>
      <c r="F37" s="68">
        <f t="shared" si="4"/>
        <v>1008.47</v>
      </c>
      <c r="G37" s="245">
        <v>754.7</v>
      </c>
      <c r="H37" s="103">
        <f t="shared" si="5"/>
        <v>0</v>
      </c>
      <c r="I37" s="238"/>
      <c r="J37" s="238"/>
      <c r="K37" s="164"/>
      <c r="L37" s="158"/>
      <c r="M37" s="164"/>
      <c r="N37" s="239"/>
    </row>
    <row r="38" spans="1:14" x14ac:dyDescent="0.25">
      <c r="A38" s="23"/>
      <c r="B38" s="4"/>
      <c r="C38" s="60">
        <v>0</v>
      </c>
      <c r="D38" s="237"/>
      <c r="E38" s="145" t="s">
        <v>61</v>
      </c>
      <c r="F38" s="68">
        <v>0</v>
      </c>
      <c r="G38" s="237"/>
      <c r="H38" s="97">
        <f t="shared" si="5"/>
        <v>0</v>
      </c>
      <c r="I38" s="238"/>
      <c r="J38" s="238"/>
      <c r="K38" s="164"/>
      <c r="L38" s="158"/>
      <c r="M38" s="164"/>
      <c r="N38" s="239"/>
    </row>
    <row r="39" spans="1:14" x14ac:dyDescent="0.25">
      <c r="A39" s="246"/>
      <c r="B39" s="247"/>
      <c r="C39" s="161"/>
      <c r="D39" s="245"/>
      <c r="E39" s="144"/>
      <c r="F39" s="144"/>
      <c r="G39" s="248"/>
      <c r="H39" s="249"/>
      <c r="I39" s="238"/>
      <c r="J39" s="238"/>
      <c r="K39" s="164"/>
      <c r="L39" s="158"/>
      <c r="M39" s="165"/>
      <c r="N39" s="239"/>
    </row>
    <row r="40" spans="1:14" ht="13" x14ac:dyDescent="0.3">
      <c r="A40" s="236" t="s">
        <v>20</v>
      </c>
      <c r="B40" s="250"/>
      <c r="C40" s="172"/>
      <c r="D40" s="251"/>
      <c r="E40" s="173"/>
      <c r="F40" s="173"/>
      <c r="G40" s="252"/>
      <c r="H40" s="253"/>
      <c r="I40" s="238"/>
      <c r="J40" s="238"/>
      <c r="K40" s="164"/>
      <c r="L40" s="158"/>
      <c r="M40" s="165"/>
      <c r="N40" s="239"/>
    </row>
    <row r="41" spans="1:14" x14ac:dyDescent="0.25">
      <c r="A41" s="128" t="s">
        <v>309</v>
      </c>
      <c r="B41" s="6"/>
      <c r="C41" s="68">
        <f t="shared" ref="C41:C48" si="6">ROUND(CPI*D41,2)</f>
        <v>20.9</v>
      </c>
      <c r="D41" s="251">
        <v>15.64</v>
      </c>
      <c r="E41" s="174" t="s">
        <v>58</v>
      </c>
      <c r="F41" s="68">
        <f t="shared" ref="F41:F48" si="7">ROUND(CPI*G41,2)</f>
        <v>25.94</v>
      </c>
      <c r="G41" s="251">
        <v>19.41</v>
      </c>
      <c r="H41" s="104">
        <f t="shared" ref="H41:H49" si="8">IF($B$141="Yes",B41*F41,B41*C41)</f>
        <v>0</v>
      </c>
      <c r="I41" s="238"/>
      <c r="J41" s="238"/>
      <c r="K41" s="164"/>
      <c r="L41" s="158"/>
      <c r="M41" s="164"/>
      <c r="N41" s="239"/>
    </row>
    <row r="42" spans="1:14" x14ac:dyDescent="0.25">
      <c r="A42" s="128" t="s">
        <v>310</v>
      </c>
      <c r="B42" s="4"/>
      <c r="C42" s="68">
        <f t="shared" si="6"/>
        <v>19.440000000000001</v>
      </c>
      <c r="D42" s="237">
        <v>14.55</v>
      </c>
      <c r="E42" s="132" t="s">
        <v>58</v>
      </c>
      <c r="F42" s="68">
        <f t="shared" si="7"/>
        <v>24.49</v>
      </c>
      <c r="G42" s="237">
        <v>18.329999999999998</v>
      </c>
      <c r="H42" s="97">
        <f t="shared" si="8"/>
        <v>0</v>
      </c>
      <c r="I42" s="238"/>
      <c r="J42" s="238"/>
      <c r="K42" s="164"/>
      <c r="L42" s="158"/>
      <c r="M42" s="164"/>
      <c r="N42" s="239"/>
    </row>
    <row r="43" spans="1:14" x14ac:dyDescent="0.25">
      <c r="A43" s="128" t="s">
        <v>311</v>
      </c>
      <c r="B43" s="4"/>
      <c r="C43" s="68">
        <f t="shared" si="6"/>
        <v>20.9</v>
      </c>
      <c r="D43" s="237">
        <v>15.64</v>
      </c>
      <c r="E43" s="132" t="s">
        <v>58</v>
      </c>
      <c r="F43" s="68">
        <f t="shared" si="7"/>
        <v>25.94</v>
      </c>
      <c r="G43" s="237">
        <v>19.41</v>
      </c>
      <c r="H43" s="97">
        <f t="shared" si="8"/>
        <v>0</v>
      </c>
      <c r="I43" s="238"/>
      <c r="J43" s="238"/>
      <c r="K43" s="164"/>
      <c r="L43" s="158"/>
      <c r="M43" s="164"/>
      <c r="N43" s="239"/>
    </row>
    <row r="44" spans="1:14" x14ac:dyDescent="0.25">
      <c r="A44" s="128" t="s">
        <v>312</v>
      </c>
      <c r="B44" s="4"/>
      <c r="C44" s="68">
        <f t="shared" si="6"/>
        <v>18.010000000000002</v>
      </c>
      <c r="D44" s="237">
        <v>13.48</v>
      </c>
      <c r="E44" s="132" t="s">
        <v>58</v>
      </c>
      <c r="F44" s="68">
        <f t="shared" si="7"/>
        <v>22.33</v>
      </c>
      <c r="G44" s="237">
        <v>16.71</v>
      </c>
      <c r="H44" s="97">
        <f t="shared" si="8"/>
        <v>0</v>
      </c>
      <c r="I44" s="238"/>
      <c r="J44" s="238"/>
      <c r="K44" s="164"/>
      <c r="L44" s="158"/>
      <c r="M44" s="164"/>
      <c r="N44" s="239"/>
    </row>
    <row r="45" spans="1:14" x14ac:dyDescent="0.25">
      <c r="A45" s="128" t="s">
        <v>313</v>
      </c>
      <c r="B45" s="4"/>
      <c r="C45" s="68">
        <f t="shared" si="6"/>
        <v>19.440000000000001</v>
      </c>
      <c r="D45" s="237">
        <v>14.55</v>
      </c>
      <c r="E45" s="132" t="s">
        <v>58</v>
      </c>
      <c r="F45" s="68">
        <f t="shared" si="7"/>
        <v>24.49</v>
      </c>
      <c r="G45" s="237">
        <v>18.329999999999998</v>
      </c>
      <c r="H45" s="97">
        <f t="shared" si="8"/>
        <v>0</v>
      </c>
      <c r="I45" s="238"/>
      <c r="J45" s="238"/>
      <c r="K45" s="164"/>
      <c r="L45" s="158"/>
      <c r="M45" s="164"/>
      <c r="N45" s="239"/>
    </row>
    <row r="46" spans="1:14" x14ac:dyDescent="0.25">
      <c r="A46" s="128" t="s">
        <v>86</v>
      </c>
      <c r="B46" s="4"/>
      <c r="C46" s="68">
        <f t="shared" si="6"/>
        <v>18.010000000000002</v>
      </c>
      <c r="D46" s="237">
        <v>13.48</v>
      </c>
      <c r="E46" s="132" t="s">
        <v>58</v>
      </c>
      <c r="F46" s="68">
        <f t="shared" si="7"/>
        <v>22.33</v>
      </c>
      <c r="G46" s="237">
        <v>16.71</v>
      </c>
      <c r="H46" s="97">
        <f t="shared" si="8"/>
        <v>0</v>
      </c>
      <c r="I46" s="238"/>
      <c r="J46" s="238"/>
      <c r="K46" s="164"/>
      <c r="L46" s="158"/>
      <c r="M46" s="164"/>
      <c r="N46" s="239"/>
    </row>
    <row r="47" spans="1:14" x14ac:dyDescent="0.25">
      <c r="A47" s="128" t="s">
        <v>22</v>
      </c>
      <c r="B47" s="4"/>
      <c r="C47" s="68">
        <f t="shared" si="6"/>
        <v>18.010000000000002</v>
      </c>
      <c r="D47" s="237">
        <v>13.48</v>
      </c>
      <c r="E47" s="132" t="s">
        <v>58</v>
      </c>
      <c r="F47" s="68">
        <f t="shared" si="7"/>
        <v>22.33</v>
      </c>
      <c r="G47" s="237">
        <v>16.71</v>
      </c>
      <c r="H47" s="97">
        <f t="shared" si="8"/>
        <v>0</v>
      </c>
      <c r="I47" s="238"/>
      <c r="J47" s="238"/>
      <c r="K47" s="164"/>
      <c r="L47" s="158"/>
      <c r="M47" s="164"/>
      <c r="N47" s="239"/>
    </row>
    <row r="48" spans="1:14" x14ac:dyDescent="0.25">
      <c r="A48" s="128" t="s">
        <v>23</v>
      </c>
      <c r="B48" s="4"/>
      <c r="C48" s="68">
        <f t="shared" si="6"/>
        <v>18.010000000000002</v>
      </c>
      <c r="D48" s="237">
        <v>13.48</v>
      </c>
      <c r="E48" s="132" t="s">
        <v>58</v>
      </c>
      <c r="F48" s="68">
        <f t="shared" si="7"/>
        <v>22.33</v>
      </c>
      <c r="G48" s="237">
        <v>16.71</v>
      </c>
      <c r="H48" s="97">
        <f t="shared" si="8"/>
        <v>0</v>
      </c>
      <c r="I48" s="238"/>
      <c r="J48" s="238"/>
      <c r="K48" s="164"/>
      <c r="L48" s="158"/>
      <c r="M48" s="164"/>
      <c r="N48" s="239"/>
    </row>
    <row r="49" spans="1:14" x14ac:dyDescent="0.25">
      <c r="A49" s="23"/>
      <c r="B49" s="4"/>
      <c r="C49" s="60">
        <v>0</v>
      </c>
      <c r="D49" s="237"/>
      <c r="E49" s="132" t="s">
        <v>58</v>
      </c>
      <c r="F49" s="68">
        <v>0</v>
      </c>
      <c r="G49" s="237"/>
      <c r="H49" s="97">
        <f t="shared" si="8"/>
        <v>0</v>
      </c>
      <c r="I49" s="238"/>
      <c r="J49" s="238"/>
      <c r="K49" s="164"/>
      <c r="L49" s="158"/>
      <c r="M49" s="164"/>
      <c r="N49" s="239"/>
    </row>
    <row r="50" spans="1:14" x14ac:dyDescent="0.25">
      <c r="A50" s="240"/>
      <c r="B50" s="241"/>
      <c r="C50" s="164"/>
      <c r="D50" s="242"/>
      <c r="E50" s="165"/>
      <c r="F50" s="165"/>
      <c r="G50" s="243"/>
      <c r="H50" s="244"/>
      <c r="I50" s="238"/>
      <c r="J50" s="238"/>
      <c r="K50" s="164"/>
      <c r="L50" s="158"/>
      <c r="M50" s="165"/>
      <c r="N50" s="239"/>
    </row>
    <row r="51" spans="1:14" ht="13" x14ac:dyDescent="0.3">
      <c r="A51" s="236" t="s">
        <v>24</v>
      </c>
      <c r="B51" s="250"/>
      <c r="C51" s="172"/>
      <c r="D51" s="251"/>
      <c r="E51" s="173"/>
      <c r="F51" s="173"/>
      <c r="G51" s="252"/>
      <c r="H51" s="253"/>
      <c r="I51" s="238"/>
      <c r="J51" s="238"/>
      <c r="K51" s="164"/>
      <c r="L51" s="158"/>
      <c r="M51" s="165"/>
      <c r="N51" s="239"/>
    </row>
    <row r="52" spans="1:14" x14ac:dyDescent="0.25">
      <c r="A52" s="128" t="s">
        <v>25</v>
      </c>
      <c r="B52" s="6"/>
      <c r="C52" s="68">
        <f t="shared" ref="C52:C72" si="9">ROUND(CPI*D52,2)</f>
        <v>741.95</v>
      </c>
      <c r="D52" s="251">
        <v>555.25</v>
      </c>
      <c r="E52" s="174" t="s">
        <v>57</v>
      </c>
      <c r="F52" s="68">
        <f t="shared" ref="F52:F72" si="10">ROUND(CPI*G52,2)</f>
        <v>741.95</v>
      </c>
      <c r="G52" s="254">
        <v>555.25</v>
      </c>
      <c r="H52" s="104">
        <f t="shared" ref="H52:H74" si="11">IF($B$141="Yes",B52*F52,B52*C52)</f>
        <v>0</v>
      </c>
      <c r="I52" s="238"/>
      <c r="J52" s="238"/>
      <c r="K52" s="164"/>
      <c r="L52" s="158"/>
      <c r="M52" s="164"/>
      <c r="N52" s="239"/>
    </row>
    <row r="53" spans="1:14" x14ac:dyDescent="0.25">
      <c r="A53" s="128" t="s">
        <v>92</v>
      </c>
      <c r="B53" s="4"/>
      <c r="C53" s="68">
        <f t="shared" si="9"/>
        <v>111.66</v>
      </c>
      <c r="D53" s="237">
        <v>83.56</v>
      </c>
      <c r="E53" s="132" t="s">
        <v>61</v>
      </c>
      <c r="F53" s="68">
        <f t="shared" si="10"/>
        <v>111.66</v>
      </c>
      <c r="G53" s="68">
        <v>83.56</v>
      </c>
      <c r="H53" s="97">
        <f t="shared" si="11"/>
        <v>0</v>
      </c>
      <c r="I53" s="238"/>
      <c r="J53" s="238"/>
      <c r="K53" s="164"/>
      <c r="L53" s="158"/>
      <c r="M53" s="164"/>
      <c r="N53" s="239"/>
    </row>
    <row r="54" spans="1:14" x14ac:dyDescent="0.25">
      <c r="A54" s="128" t="s">
        <v>93</v>
      </c>
      <c r="B54" s="4"/>
      <c r="C54" s="68">
        <f t="shared" si="9"/>
        <v>111.66</v>
      </c>
      <c r="D54" s="237">
        <v>83.56</v>
      </c>
      <c r="E54" s="132" t="s">
        <v>61</v>
      </c>
      <c r="F54" s="68">
        <f t="shared" si="10"/>
        <v>111.66</v>
      </c>
      <c r="G54" s="68">
        <v>83.56</v>
      </c>
      <c r="H54" s="97">
        <f t="shared" si="11"/>
        <v>0</v>
      </c>
      <c r="I54" s="238"/>
      <c r="J54" s="238"/>
      <c r="K54" s="164"/>
      <c r="L54" s="158"/>
      <c r="M54" s="164"/>
      <c r="N54" s="239"/>
    </row>
    <row r="55" spans="1:14" x14ac:dyDescent="0.25">
      <c r="A55" s="128" t="s">
        <v>77</v>
      </c>
      <c r="B55" s="4"/>
      <c r="C55" s="68">
        <f t="shared" si="9"/>
        <v>3.02</v>
      </c>
      <c r="D55" s="237">
        <v>2.2599999999999998</v>
      </c>
      <c r="E55" s="132" t="s">
        <v>58</v>
      </c>
      <c r="F55" s="68">
        <f t="shared" si="10"/>
        <v>3.75</v>
      </c>
      <c r="G55" s="237">
        <v>2.81</v>
      </c>
      <c r="H55" s="97">
        <f t="shared" si="11"/>
        <v>0</v>
      </c>
      <c r="I55" s="238"/>
      <c r="J55" s="238"/>
      <c r="K55" s="164"/>
      <c r="L55" s="158"/>
      <c r="M55" s="164"/>
      <c r="N55" s="239"/>
    </row>
    <row r="56" spans="1:14" x14ac:dyDescent="0.25">
      <c r="A56" s="128" t="s">
        <v>75</v>
      </c>
      <c r="B56" s="4"/>
      <c r="C56" s="68">
        <f t="shared" si="9"/>
        <v>445.16</v>
      </c>
      <c r="D56" s="237">
        <v>333.14</v>
      </c>
      <c r="E56" s="132" t="s">
        <v>61</v>
      </c>
      <c r="F56" s="68">
        <f t="shared" si="10"/>
        <v>445.16</v>
      </c>
      <c r="G56" s="68">
        <v>333.14</v>
      </c>
      <c r="H56" s="97">
        <f t="shared" si="11"/>
        <v>0</v>
      </c>
      <c r="I56" s="238"/>
      <c r="J56" s="238"/>
      <c r="K56" s="164"/>
      <c r="L56" s="158"/>
      <c r="M56" s="164"/>
      <c r="N56" s="239"/>
    </row>
    <row r="57" spans="1:14" x14ac:dyDescent="0.25">
      <c r="A57" s="128" t="s">
        <v>76</v>
      </c>
      <c r="B57" s="4"/>
      <c r="C57" s="68">
        <f t="shared" si="9"/>
        <v>741.95</v>
      </c>
      <c r="D57" s="237">
        <v>555.25</v>
      </c>
      <c r="E57" s="132" t="s">
        <v>61</v>
      </c>
      <c r="F57" s="68">
        <f t="shared" si="10"/>
        <v>741.95</v>
      </c>
      <c r="G57" s="68">
        <v>555.25</v>
      </c>
      <c r="H57" s="97">
        <f t="shared" si="11"/>
        <v>0</v>
      </c>
      <c r="I57" s="238"/>
      <c r="J57" s="238"/>
      <c r="K57" s="164"/>
      <c r="L57" s="158"/>
      <c r="M57" s="164"/>
      <c r="N57" s="239"/>
    </row>
    <row r="58" spans="1:14" ht="12.75" customHeight="1" x14ac:dyDescent="0.25">
      <c r="A58" s="128" t="s">
        <v>80</v>
      </c>
      <c r="B58" s="4"/>
      <c r="C58" s="68">
        <f t="shared" si="9"/>
        <v>74.2</v>
      </c>
      <c r="D58" s="237">
        <v>55.53</v>
      </c>
      <c r="E58" s="132" t="s">
        <v>61</v>
      </c>
      <c r="F58" s="68">
        <f t="shared" si="10"/>
        <v>89.31</v>
      </c>
      <c r="G58" s="237">
        <v>66.84</v>
      </c>
      <c r="H58" s="97">
        <f t="shared" si="11"/>
        <v>0</v>
      </c>
      <c r="I58" s="238"/>
      <c r="J58" s="238"/>
      <c r="K58" s="164"/>
      <c r="L58" s="158"/>
      <c r="M58" s="164"/>
      <c r="N58" s="239"/>
    </row>
    <row r="59" spans="1:14" ht="12.75" customHeight="1" x14ac:dyDescent="0.25">
      <c r="A59" s="128" t="s">
        <v>88</v>
      </c>
      <c r="B59" s="4"/>
      <c r="C59" s="68">
        <f t="shared" si="9"/>
        <v>74.2</v>
      </c>
      <c r="D59" s="237">
        <v>55.53</v>
      </c>
      <c r="E59" s="132" t="s">
        <v>61</v>
      </c>
      <c r="F59" s="68">
        <f t="shared" si="10"/>
        <v>89.31</v>
      </c>
      <c r="G59" s="237">
        <v>66.84</v>
      </c>
      <c r="H59" s="97">
        <f t="shared" si="11"/>
        <v>0</v>
      </c>
      <c r="I59" s="238"/>
      <c r="J59" s="238"/>
      <c r="K59" s="164"/>
      <c r="L59" s="158"/>
      <c r="M59" s="164"/>
      <c r="N59" s="239"/>
    </row>
    <row r="60" spans="1:14" ht="12.75" customHeight="1" x14ac:dyDescent="0.25">
      <c r="A60" s="128" t="s">
        <v>89</v>
      </c>
      <c r="B60" s="4"/>
      <c r="C60" s="68">
        <f t="shared" si="9"/>
        <v>62.67</v>
      </c>
      <c r="D60" s="237">
        <v>46.9</v>
      </c>
      <c r="E60" s="132" t="s">
        <v>61</v>
      </c>
      <c r="F60" s="68">
        <f t="shared" si="10"/>
        <v>74.91</v>
      </c>
      <c r="G60" s="237">
        <v>56.06</v>
      </c>
      <c r="H60" s="97">
        <f t="shared" si="11"/>
        <v>0</v>
      </c>
      <c r="I60" s="238"/>
      <c r="J60" s="238"/>
      <c r="K60" s="164"/>
      <c r="L60" s="158"/>
      <c r="M60" s="164"/>
      <c r="N60" s="239"/>
    </row>
    <row r="61" spans="1:14" ht="12.75" customHeight="1" x14ac:dyDescent="0.25">
      <c r="A61" s="128" t="s">
        <v>314</v>
      </c>
      <c r="B61" s="4"/>
      <c r="C61" s="68">
        <f t="shared" si="9"/>
        <v>15.13</v>
      </c>
      <c r="D61" s="237">
        <v>11.32</v>
      </c>
      <c r="E61" s="132" t="s">
        <v>58</v>
      </c>
      <c r="F61" s="68">
        <f t="shared" si="10"/>
        <v>18.010000000000002</v>
      </c>
      <c r="G61" s="237">
        <v>13.48</v>
      </c>
      <c r="H61" s="97">
        <f t="shared" si="11"/>
        <v>0</v>
      </c>
      <c r="I61" s="238"/>
      <c r="J61" s="238"/>
      <c r="K61" s="164"/>
      <c r="L61" s="158"/>
      <c r="M61" s="164"/>
      <c r="N61" s="239"/>
    </row>
    <row r="62" spans="1:14" ht="12.75" customHeight="1" x14ac:dyDescent="0.25">
      <c r="A62" s="128" t="s">
        <v>74</v>
      </c>
      <c r="B62" s="4"/>
      <c r="C62" s="68">
        <f t="shared" si="9"/>
        <v>223.3</v>
      </c>
      <c r="D62" s="237">
        <v>167.11</v>
      </c>
      <c r="E62" s="132" t="s">
        <v>61</v>
      </c>
      <c r="F62" s="68">
        <f t="shared" si="10"/>
        <v>302.54000000000002</v>
      </c>
      <c r="G62" s="237">
        <v>226.41</v>
      </c>
      <c r="H62" s="97">
        <f t="shared" si="11"/>
        <v>0</v>
      </c>
      <c r="I62" s="238"/>
      <c r="J62" s="238"/>
      <c r="K62" s="164"/>
      <c r="L62" s="158"/>
      <c r="M62" s="164"/>
      <c r="N62" s="239"/>
    </row>
    <row r="63" spans="1:14" ht="12.75" customHeight="1" x14ac:dyDescent="0.25">
      <c r="A63" s="128" t="s">
        <v>79</v>
      </c>
      <c r="B63" s="4"/>
      <c r="C63" s="68">
        <f t="shared" si="9"/>
        <v>4.46</v>
      </c>
      <c r="D63" s="237">
        <v>3.34</v>
      </c>
      <c r="E63" s="132" t="s">
        <v>60</v>
      </c>
      <c r="F63" s="68">
        <f t="shared" si="10"/>
        <v>6.05</v>
      </c>
      <c r="G63" s="237">
        <v>4.53</v>
      </c>
      <c r="H63" s="97">
        <f t="shared" si="11"/>
        <v>0</v>
      </c>
      <c r="I63" s="238"/>
      <c r="J63" s="238"/>
      <c r="K63" s="164"/>
      <c r="L63" s="158"/>
      <c r="M63" s="164"/>
      <c r="N63" s="239"/>
    </row>
    <row r="64" spans="1:14" ht="12.75" customHeight="1" x14ac:dyDescent="0.25">
      <c r="A64" s="128" t="s">
        <v>26</v>
      </c>
      <c r="B64" s="4"/>
      <c r="C64" s="68">
        <f t="shared" si="9"/>
        <v>62.67</v>
      </c>
      <c r="D64" s="237">
        <v>46.9</v>
      </c>
      <c r="E64" s="132" t="s">
        <v>58</v>
      </c>
      <c r="F64" s="68">
        <f t="shared" si="10"/>
        <v>66.989999999999995</v>
      </c>
      <c r="G64" s="237">
        <v>50.13</v>
      </c>
      <c r="H64" s="97">
        <f t="shared" si="11"/>
        <v>0</v>
      </c>
      <c r="I64" s="238"/>
      <c r="J64" s="238"/>
      <c r="K64" s="164"/>
      <c r="L64" s="158"/>
      <c r="M64" s="164"/>
      <c r="N64" s="239"/>
    </row>
    <row r="65" spans="1:14" ht="12.75" customHeight="1" x14ac:dyDescent="0.25">
      <c r="A65" s="128" t="s">
        <v>27</v>
      </c>
      <c r="B65" s="4"/>
      <c r="C65" s="68">
        <f t="shared" si="9"/>
        <v>18.010000000000002</v>
      </c>
      <c r="D65" s="237">
        <v>13.48</v>
      </c>
      <c r="E65" s="132" t="s">
        <v>57</v>
      </c>
      <c r="F65" s="68">
        <f t="shared" si="10"/>
        <v>22.33</v>
      </c>
      <c r="G65" s="237">
        <v>16.71</v>
      </c>
      <c r="H65" s="97">
        <f t="shared" si="11"/>
        <v>0</v>
      </c>
      <c r="I65" s="238"/>
      <c r="J65" s="238"/>
      <c r="K65" s="164"/>
      <c r="L65" s="158"/>
      <c r="M65" s="164"/>
      <c r="N65" s="239"/>
    </row>
    <row r="66" spans="1:14" ht="12.75" customHeight="1" x14ac:dyDescent="0.25">
      <c r="A66" s="128" t="s">
        <v>28</v>
      </c>
      <c r="B66" s="4"/>
      <c r="C66" s="68">
        <f t="shared" si="9"/>
        <v>22.33</v>
      </c>
      <c r="D66" s="237">
        <v>16.71</v>
      </c>
      <c r="E66" s="132" t="s">
        <v>58</v>
      </c>
      <c r="F66" s="68">
        <f t="shared" si="10"/>
        <v>29.68</v>
      </c>
      <c r="G66" s="237">
        <v>22.21</v>
      </c>
      <c r="H66" s="97">
        <f t="shared" si="11"/>
        <v>0</v>
      </c>
      <c r="I66" s="238"/>
      <c r="J66" s="238"/>
      <c r="K66" s="164"/>
      <c r="L66" s="158"/>
      <c r="M66" s="164"/>
      <c r="N66" s="239"/>
    </row>
    <row r="67" spans="1:14" ht="12.75" customHeight="1" x14ac:dyDescent="0.25">
      <c r="A67" s="128" t="s">
        <v>29</v>
      </c>
      <c r="B67" s="4"/>
      <c r="C67" s="68">
        <f t="shared" si="9"/>
        <v>28.93</v>
      </c>
      <c r="D67" s="237">
        <v>21.65</v>
      </c>
      <c r="E67" s="132" t="s">
        <v>58</v>
      </c>
      <c r="F67" s="68">
        <f t="shared" si="10"/>
        <v>40.340000000000003</v>
      </c>
      <c r="G67" s="237">
        <v>30.19</v>
      </c>
      <c r="H67" s="97">
        <f t="shared" si="11"/>
        <v>0</v>
      </c>
      <c r="I67" s="238"/>
      <c r="J67" s="238"/>
      <c r="K67" s="164"/>
      <c r="L67" s="158"/>
      <c r="M67" s="164"/>
      <c r="N67" s="239"/>
    </row>
    <row r="68" spans="1:14" ht="12.75" customHeight="1" x14ac:dyDescent="0.25">
      <c r="A68" s="128" t="s">
        <v>315</v>
      </c>
      <c r="B68" s="4"/>
      <c r="C68" s="68">
        <f t="shared" si="9"/>
        <v>638.22</v>
      </c>
      <c r="D68" s="237">
        <v>477.62</v>
      </c>
      <c r="E68" s="132" t="s">
        <v>57</v>
      </c>
      <c r="F68" s="68">
        <f t="shared" si="10"/>
        <v>772.2</v>
      </c>
      <c r="G68" s="237">
        <v>577.89</v>
      </c>
      <c r="H68" s="97">
        <f t="shared" si="11"/>
        <v>0</v>
      </c>
      <c r="I68" s="238"/>
      <c r="J68" s="238"/>
      <c r="K68" s="164"/>
      <c r="L68" s="158"/>
      <c r="M68" s="164"/>
      <c r="N68" s="239"/>
    </row>
    <row r="69" spans="1:14" x14ac:dyDescent="0.25">
      <c r="A69" s="128" t="s">
        <v>31</v>
      </c>
      <c r="B69" s="4"/>
      <c r="C69" s="68">
        <f t="shared" si="9"/>
        <v>579.14</v>
      </c>
      <c r="D69" s="237">
        <v>433.41</v>
      </c>
      <c r="E69" s="132" t="s">
        <v>57</v>
      </c>
      <c r="F69" s="68">
        <f t="shared" si="10"/>
        <v>682.88</v>
      </c>
      <c r="G69" s="237">
        <v>511.04</v>
      </c>
      <c r="H69" s="97">
        <f t="shared" si="11"/>
        <v>0</v>
      </c>
      <c r="I69" s="238"/>
      <c r="J69" s="238"/>
      <c r="K69" s="164"/>
      <c r="L69" s="158"/>
      <c r="M69" s="164"/>
      <c r="N69" s="239"/>
    </row>
    <row r="70" spans="1:14" x14ac:dyDescent="0.25">
      <c r="A70" s="128" t="s">
        <v>32</v>
      </c>
      <c r="B70" s="4"/>
      <c r="C70" s="68">
        <f t="shared" si="9"/>
        <v>133.99</v>
      </c>
      <c r="D70" s="237">
        <v>100.27</v>
      </c>
      <c r="E70" s="132" t="s">
        <v>57</v>
      </c>
      <c r="F70" s="68">
        <f t="shared" si="10"/>
        <v>148.38999999999999</v>
      </c>
      <c r="G70" s="237">
        <v>111.05</v>
      </c>
      <c r="H70" s="97">
        <f t="shared" si="11"/>
        <v>0</v>
      </c>
      <c r="I70" s="238"/>
      <c r="J70" s="238"/>
      <c r="K70" s="164"/>
      <c r="L70" s="158"/>
      <c r="M70" s="164"/>
      <c r="N70" s="239"/>
    </row>
    <row r="71" spans="1:14" x14ac:dyDescent="0.25">
      <c r="A71" s="128" t="s">
        <v>56</v>
      </c>
      <c r="B71" s="4"/>
      <c r="C71" s="68">
        <f t="shared" si="9"/>
        <v>1112.2</v>
      </c>
      <c r="D71" s="237">
        <v>832.33</v>
      </c>
      <c r="E71" s="132" t="s">
        <v>57</v>
      </c>
      <c r="F71" s="68">
        <f t="shared" si="10"/>
        <v>1112.2</v>
      </c>
      <c r="G71" s="68">
        <v>832.33</v>
      </c>
      <c r="H71" s="97">
        <f t="shared" si="11"/>
        <v>0</v>
      </c>
      <c r="I71" s="238"/>
      <c r="J71" s="238"/>
      <c r="K71" s="164"/>
      <c r="L71" s="158"/>
      <c r="M71" s="164"/>
      <c r="N71" s="239"/>
    </row>
    <row r="72" spans="1:14" x14ac:dyDescent="0.25">
      <c r="A72" s="128" t="s">
        <v>33</v>
      </c>
      <c r="B72" s="4"/>
      <c r="C72" s="68">
        <f t="shared" si="9"/>
        <v>2076.0100000000002</v>
      </c>
      <c r="D72" s="245">
        <v>1553.61</v>
      </c>
      <c r="E72" s="145" t="s">
        <v>57</v>
      </c>
      <c r="F72" s="68">
        <f t="shared" si="10"/>
        <v>2076.0100000000002</v>
      </c>
      <c r="G72" s="68">
        <v>1553.61</v>
      </c>
      <c r="H72" s="97">
        <f t="shared" si="11"/>
        <v>0</v>
      </c>
      <c r="I72" s="238"/>
      <c r="J72" s="238"/>
      <c r="K72" s="164"/>
      <c r="L72" s="158"/>
      <c r="M72" s="164"/>
      <c r="N72" s="239"/>
    </row>
    <row r="73" spans="1:14" x14ac:dyDescent="0.25">
      <c r="A73" s="128" t="s">
        <v>492</v>
      </c>
      <c r="B73" s="32"/>
      <c r="C73" s="12">
        <v>0</v>
      </c>
      <c r="D73" s="237">
        <v>0</v>
      </c>
      <c r="E73" s="132" t="s">
        <v>57</v>
      </c>
      <c r="F73" s="255">
        <f>C73</f>
        <v>0</v>
      </c>
      <c r="G73" s="237">
        <v>0</v>
      </c>
      <c r="H73" s="97">
        <f t="shared" si="11"/>
        <v>0</v>
      </c>
      <c r="I73" s="238"/>
      <c r="J73" s="238"/>
      <c r="K73" s="164"/>
      <c r="L73" s="158"/>
      <c r="M73" s="164"/>
      <c r="N73" s="239"/>
    </row>
    <row r="74" spans="1:14" x14ac:dyDescent="0.25">
      <c r="A74" s="23"/>
      <c r="B74" s="4"/>
      <c r="C74" s="60">
        <v>0</v>
      </c>
      <c r="D74" s="237"/>
      <c r="E74" s="59"/>
      <c r="F74" s="68">
        <v>0</v>
      </c>
      <c r="G74" s="237"/>
      <c r="H74" s="97">
        <f t="shared" si="11"/>
        <v>0</v>
      </c>
      <c r="I74" s="238"/>
      <c r="J74" s="238"/>
      <c r="K74" s="164"/>
      <c r="L74" s="158"/>
      <c r="M74" s="164"/>
      <c r="N74" s="239"/>
    </row>
    <row r="75" spans="1:14" ht="15" customHeight="1" x14ac:dyDescent="0.25">
      <c r="A75" s="256"/>
      <c r="B75" s="257"/>
      <c r="C75" s="258"/>
      <c r="D75" s="258"/>
      <c r="E75" s="258"/>
      <c r="F75" s="239"/>
      <c r="G75" s="259"/>
      <c r="H75" s="260"/>
      <c r="I75" s="238"/>
      <c r="J75" s="238"/>
      <c r="K75" s="164"/>
      <c r="L75" s="158"/>
      <c r="M75" s="164"/>
      <c r="N75" s="239"/>
    </row>
    <row r="76" spans="1:14" ht="12.75" hidden="1" customHeight="1" x14ac:dyDescent="0.25">
      <c r="A76" s="125" t="s">
        <v>35</v>
      </c>
      <c r="B76" s="261"/>
      <c r="C76" s="262"/>
      <c r="D76" s="251"/>
      <c r="E76" s="172"/>
      <c r="F76" s="174"/>
      <c r="G76" s="252"/>
      <c r="H76" s="263"/>
      <c r="I76" s="238"/>
      <c r="J76" s="238"/>
      <c r="K76" s="164"/>
      <c r="L76" s="158"/>
      <c r="M76" s="165"/>
      <c r="N76" s="239"/>
    </row>
    <row r="77" spans="1:14" ht="12.75" hidden="1" customHeight="1" x14ac:dyDescent="0.25">
      <c r="A77" s="128" t="s">
        <v>36</v>
      </c>
      <c r="B77" s="129"/>
      <c r="C77" s="130"/>
      <c r="D77" s="237"/>
      <c r="E77" s="141"/>
      <c r="F77" s="132"/>
      <c r="G77" s="264"/>
      <c r="H77" s="66"/>
      <c r="I77" s="238"/>
      <c r="J77" s="238"/>
      <c r="K77" s="164"/>
      <c r="L77" s="158"/>
      <c r="M77" s="165"/>
      <c r="N77" s="239"/>
    </row>
    <row r="78" spans="1:14" ht="12.75" hidden="1" customHeight="1" x14ac:dyDescent="0.25">
      <c r="A78" s="128" t="s">
        <v>37</v>
      </c>
      <c r="B78" s="265"/>
      <c r="C78" s="130">
        <v>105</v>
      </c>
      <c r="D78" s="237">
        <v>105</v>
      </c>
      <c r="E78" s="141"/>
      <c r="F78" s="132"/>
      <c r="G78" s="264"/>
      <c r="H78" s="66">
        <f t="shared" ref="H78:H83" si="12">B78*C78</f>
        <v>0</v>
      </c>
      <c r="I78" s="238"/>
      <c r="J78" s="238"/>
      <c r="K78" s="164"/>
      <c r="L78" s="158"/>
      <c r="M78" s="165"/>
      <c r="N78" s="239"/>
    </row>
    <row r="79" spans="1:14" ht="12.75" hidden="1" customHeight="1" x14ac:dyDescent="0.25">
      <c r="A79" s="128" t="s">
        <v>38</v>
      </c>
      <c r="B79" s="265"/>
      <c r="C79" s="130">
        <v>99</v>
      </c>
      <c r="D79" s="237">
        <v>99</v>
      </c>
      <c r="E79" s="141"/>
      <c r="F79" s="132"/>
      <c r="G79" s="264"/>
      <c r="H79" s="66">
        <f t="shared" si="12"/>
        <v>0</v>
      </c>
      <c r="I79" s="238"/>
      <c r="J79" s="238"/>
      <c r="K79" s="164"/>
      <c r="L79" s="158"/>
      <c r="M79" s="165"/>
      <c r="N79" s="239"/>
    </row>
    <row r="80" spans="1:14" ht="12.75" hidden="1" customHeight="1" x14ac:dyDescent="0.25">
      <c r="A80" s="128" t="s">
        <v>39</v>
      </c>
      <c r="B80" s="265"/>
      <c r="C80" s="130">
        <v>96</v>
      </c>
      <c r="D80" s="237">
        <v>96</v>
      </c>
      <c r="E80" s="141"/>
      <c r="F80" s="132"/>
      <c r="G80" s="264"/>
      <c r="H80" s="66">
        <f t="shared" si="12"/>
        <v>0</v>
      </c>
      <c r="I80" s="238"/>
      <c r="J80" s="238"/>
      <c r="K80" s="164"/>
      <c r="L80" s="158"/>
      <c r="M80" s="165"/>
      <c r="N80" s="239"/>
    </row>
    <row r="81" spans="1:14" ht="12.75" hidden="1" customHeight="1" x14ac:dyDescent="0.25">
      <c r="A81" s="128" t="s">
        <v>40</v>
      </c>
      <c r="B81" s="265"/>
      <c r="C81" s="130">
        <v>118</v>
      </c>
      <c r="D81" s="237">
        <v>118</v>
      </c>
      <c r="E81" s="141"/>
      <c r="F81" s="132"/>
      <c r="G81" s="264"/>
      <c r="H81" s="66">
        <f t="shared" si="12"/>
        <v>0</v>
      </c>
      <c r="I81" s="238"/>
      <c r="J81" s="238"/>
      <c r="K81" s="164"/>
      <c r="L81" s="158"/>
      <c r="M81" s="165"/>
      <c r="N81" s="239"/>
    </row>
    <row r="82" spans="1:14" ht="12.75" hidden="1" customHeight="1" x14ac:dyDescent="0.25">
      <c r="A82" s="128" t="s">
        <v>41</v>
      </c>
      <c r="B82" s="265"/>
      <c r="C82" s="130">
        <v>112</v>
      </c>
      <c r="D82" s="237">
        <v>112</v>
      </c>
      <c r="E82" s="141"/>
      <c r="F82" s="132"/>
      <c r="G82" s="264"/>
      <c r="H82" s="66">
        <f t="shared" si="12"/>
        <v>0</v>
      </c>
      <c r="I82" s="238"/>
      <c r="J82" s="238"/>
      <c r="K82" s="164"/>
      <c r="L82" s="158"/>
      <c r="M82" s="165"/>
      <c r="N82" s="239"/>
    </row>
    <row r="83" spans="1:14" ht="12.75" hidden="1" customHeight="1" x14ac:dyDescent="0.25">
      <c r="A83" s="128" t="s">
        <v>42</v>
      </c>
      <c r="B83" s="265"/>
      <c r="C83" s="130">
        <v>109</v>
      </c>
      <c r="D83" s="237">
        <v>109</v>
      </c>
      <c r="E83" s="141"/>
      <c r="F83" s="132"/>
      <c r="G83" s="264"/>
      <c r="H83" s="66">
        <f t="shared" si="12"/>
        <v>0</v>
      </c>
      <c r="I83" s="238"/>
      <c r="J83" s="238"/>
      <c r="K83" s="164"/>
      <c r="L83" s="158"/>
      <c r="M83" s="165"/>
      <c r="N83" s="239"/>
    </row>
    <row r="84" spans="1:14" ht="12.75" hidden="1" customHeight="1" x14ac:dyDescent="0.25">
      <c r="A84" s="128" t="s">
        <v>43</v>
      </c>
      <c r="B84" s="129"/>
      <c r="C84" s="130"/>
      <c r="D84" s="237"/>
      <c r="E84" s="141"/>
      <c r="F84" s="132"/>
      <c r="G84" s="264"/>
      <c r="H84" s="66"/>
      <c r="I84" s="238"/>
      <c r="J84" s="238"/>
      <c r="K84" s="164"/>
      <c r="L84" s="158"/>
      <c r="M84" s="165"/>
      <c r="N84" s="239"/>
    </row>
    <row r="85" spans="1:14" ht="12.75" hidden="1" customHeight="1" x14ac:dyDescent="0.25">
      <c r="A85" s="128" t="s">
        <v>44</v>
      </c>
      <c r="B85" s="265"/>
      <c r="C85" s="130">
        <v>57</v>
      </c>
      <c r="D85" s="237">
        <v>57</v>
      </c>
      <c r="E85" s="141"/>
      <c r="F85" s="132"/>
      <c r="G85" s="264"/>
      <c r="H85" s="66">
        <f t="shared" ref="H85:H93" si="13">B85*C85</f>
        <v>0</v>
      </c>
      <c r="I85" s="238"/>
      <c r="J85" s="238"/>
      <c r="K85" s="164"/>
      <c r="L85" s="158"/>
      <c r="M85" s="165"/>
      <c r="N85" s="239"/>
    </row>
    <row r="86" spans="1:14" ht="12.75" hidden="1" customHeight="1" x14ac:dyDescent="0.25">
      <c r="A86" s="128" t="s">
        <v>45</v>
      </c>
      <c r="B86" s="265"/>
      <c r="C86" s="130">
        <v>71</v>
      </c>
      <c r="D86" s="237">
        <v>71</v>
      </c>
      <c r="E86" s="141"/>
      <c r="F86" s="132"/>
      <c r="G86" s="264"/>
      <c r="H86" s="66">
        <f t="shared" si="13"/>
        <v>0</v>
      </c>
      <c r="I86" s="238"/>
      <c r="J86" s="238"/>
      <c r="K86" s="164"/>
      <c r="L86" s="158"/>
      <c r="M86" s="165"/>
      <c r="N86" s="239"/>
    </row>
    <row r="87" spans="1:14" ht="12.75" hidden="1" customHeight="1" x14ac:dyDescent="0.25">
      <c r="A87" s="128" t="s">
        <v>46</v>
      </c>
      <c r="B87" s="265"/>
      <c r="C87" s="130">
        <v>48</v>
      </c>
      <c r="D87" s="237">
        <v>48</v>
      </c>
      <c r="E87" s="141"/>
      <c r="F87" s="132"/>
      <c r="G87" s="264"/>
      <c r="H87" s="66">
        <f t="shared" si="13"/>
        <v>0</v>
      </c>
      <c r="I87" s="238"/>
      <c r="J87" s="238"/>
      <c r="K87" s="164"/>
      <c r="L87" s="158"/>
      <c r="M87" s="165"/>
      <c r="N87" s="239"/>
    </row>
    <row r="88" spans="1:14" ht="12.75" hidden="1" customHeight="1" x14ac:dyDescent="0.25">
      <c r="A88" s="128" t="s">
        <v>47</v>
      </c>
      <c r="B88" s="265"/>
      <c r="C88" s="130">
        <v>62</v>
      </c>
      <c r="D88" s="237">
        <v>62</v>
      </c>
      <c r="E88" s="141"/>
      <c r="F88" s="132"/>
      <c r="G88" s="264"/>
      <c r="H88" s="66">
        <f t="shared" si="13"/>
        <v>0</v>
      </c>
      <c r="I88" s="238"/>
      <c r="J88" s="238"/>
      <c r="K88" s="164"/>
      <c r="L88" s="158"/>
      <c r="M88" s="165"/>
      <c r="N88" s="239"/>
    </row>
    <row r="89" spans="1:14" ht="12.75" hidden="1" customHeight="1" x14ac:dyDescent="0.25">
      <c r="A89" s="128" t="s">
        <v>49</v>
      </c>
      <c r="B89" s="265"/>
      <c r="C89" s="130">
        <v>12000</v>
      </c>
      <c r="D89" s="237">
        <v>12000</v>
      </c>
      <c r="E89" s="141"/>
      <c r="F89" s="132"/>
      <c r="G89" s="264"/>
      <c r="H89" s="66">
        <f t="shared" si="13"/>
        <v>0</v>
      </c>
      <c r="I89" s="238"/>
      <c r="J89" s="238"/>
      <c r="K89" s="164"/>
      <c r="L89" s="158"/>
      <c r="M89" s="165"/>
      <c r="N89" s="239"/>
    </row>
    <row r="90" spans="1:14" ht="12.75" hidden="1" customHeight="1" x14ac:dyDescent="0.25">
      <c r="A90" s="128" t="s">
        <v>48</v>
      </c>
      <c r="B90" s="265"/>
      <c r="C90" s="130">
        <v>15000</v>
      </c>
      <c r="D90" s="237">
        <v>15000</v>
      </c>
      <c r="E90" s="141"/>
      <c r="F90" s="132"/>
      <c r="G90" s="264"/>
      <c r="H90" s="66">
        <f t="shared" si="13"/>
        <v>0</v>
      </c>
      <c r="I90" s="238"/>
      <c r="J90" s="238"/>
      <c r="K90" s="164"/>
      <c r="L90" s="158"/>
      <c r="M90" s="165"/>
      <c r="N90" s="239"/>
    </row>
    <row r="91" spans="1:14" ht="12.75" hidden="1" customHeight="1" x14ac:dyDescent="0.25">
      <c r="A91" s="128" t="s">
        <v>50</v>
      </c>
      <c r="B91" s="265"/>
      <c r="C91" s="130">
        <v>22000</v>
      </c>
      <c r="D91" s="237">
        <v>22000</v>
      </c>
      <c r="E91" s="141"/>
      <c r="F91" s="132"/>
      <c r="G91" s="264"/>
      <c r="H91" s="66">
        <f t="shared" si="13"/>
        <v>0</v>
      </c>
      <c r="I91" s="238"/>
      <c r="J91" s="238"/>
      <c r="K91" s="164"/>
      <c r="L91" s="158"/>
      <c r="M91" s="165"/>
      <c r="N91" s="239"/>
    </row>
    <row r="92" spans="1:14" ht="12.75" hidden="1" customHeight="1" x14ac:dyDescent="0.25">
      <c r="A92" s="128" t="s">
        <v>51</v>
      </c>
      <c r="B92" s="265"/>
      <c r="C92" s="130">
        <v>4000</v>
      </c>
      <c r="D92" s="237">
        <v>4000</v>
      </c>
      <c r="E92" s="141"/>
      <c r="F92" s="132"/>
      <c r="G92" s="264"/>
      <c r="H92" s="66">
        <f t="shared" si="13"/>
        <v>0</v>
      </c>
      <c r="I92" s="238"/>
      <c r="J92" s="238"/>
      <c r="K92" s="164"/>
      <c r="L92" s="158"/>
      <c r="M92" s="165"/>
      <c r="N92" s="239"/>
    </row>
    <row r="93" spans="1:14" ht="12.75" hidden="1" customHeight="1" x14ac:dyDescent="0.25">
      <c r="A93" s="128" t="s">
        <v>52</v>
      </c>
      <c r="B93" s="265"/>
      <c r="C93" s="130">
        <v>1900</v>
      </c>
      <c r="D93" s="237">
        <v>1900</v>
      </c>
      <c r="E93" s="141"/>
      <c r="F93" s="132"/>
      <c r="G93" s="264"/>
      <c r="H93" s="66">
        <f t="shared" si="13"/>
        <v>0</v>
      </c>
      <c r="I93" s="238"/>
      <c r="J93" s="238"/>
      <c r="K93" s="164"/>
      <c r="L93" s="158"/>
      <c r="M93" s="165"/>
      <c r="N93" s="239"/>
    </row>
    <row r="94" spans="1:14" ht="12.75" hidden="1" customHeight="1" x14ac:dyDescent="0.25">
      <c r="A94" s="128" t="s">
        <v>53</v>
      </c>
      <c r="B94" s="129"/>
      <c r="C94" s="130"/>
      <c r="D94" s="237"/>
      <c r="E94" s="141"/>
      <c r="F94" s="132"/>
      <c r="G94" s="264"/>
      <c r="H94" s="66"/>
      <c r="I94" s="238"/>
      <c r="J94" s="238"/>
      <c r="K94" s="164"/>
      <c r="L94" s="158"/>
      <c r="M94" s="165"/>
      <c r="N94" s="239"/>
    </row>
    <row r="95" spans="1:14" ht="12.75" hidden="1" customHeight="1" x14ac:dyDescent="0.25">
      <c r="A95" s="128" t="s">
        <v>54</v>
      </c>
      <c r="B95" s="265"/>
      <c r="C95" s="130">
        <v>8500</v>
      </c>
      <c r="D95" s="237">
        <v>8500</v>
      </c>
      <c r="E95" s="141"/>
      <c r="F95" s="132"/>
      <c r="G95" s="264"/>
      <c r="H95" s="66">
        <f>B95*C95</f>
        <v>0</v>
      </c>
      <c r="I95" s="238"/>
      <c r="J95" s="238"/>
      <c r="K95" s="164"/>
      <c r="L95" s="158"/>
      <c r="M95" s="165"/>
      <c r="N95" s="239"/>
    </row>
    <row r="96" spans="1:14" ht="12.75" hidden="1" customHeight="1" x14ac:dyDescent="0.25">
      <c r="A96" s="128" t="s">
        <v>55</v>
      </c>
      <c r="B96" s="266"/>
      <c r="C96" s="267">
        <v>5500</v>
      </c>
      <c r="D96" s="245">
        <v>5500</v>
      </c>
      <c r="E96" s="161"/>
      <c r="F96" s="145"/>
      <c r="G96" s="248"/>
      <c r="H96" s="109">
        <f>B96*C96</f>
        <v>0</v>
      </c>
      <c r="I96" s="238"/>
      <c r="J96" s="238"/>
      <c r="K96" s="164"/>
      <c r="L96" s="158"/>
      <c r="M96" s="165"/>
      <c r="N96" s="239"/>
    </row>
    <row r="97" spans="1:14" ht="13" x14ac:dyDescent="0.3">
      <c r="A97" s="236" t="s">
        <v>225</v>
      </c>
      <c r="B97" s="241"/>
      <c r="C97" s="164"/>
      <c r="D97" s="242"/>
      <c r="E97" s="164"/>
      <c r="F97" s="165"/>
      <c r="G97" s="243"/>
      <c r="H97" s="244"/>
      <c r="I97" s="238"/>
      <c r="J97" s="238"/>
      <c r="K97" s="164"/>
      <c r="L97" s="158"/>
      <c r="M97" s="165"/>
      <c r="N97" s="239"/>
    </row>
    <row r="98" spans="1:14" x14ac:dyDescent="0.25">
      <c r="A98" s="128" t="s">
        <v>224</v>
      </c>
      <c r="B98" s="268"/>
      <c r="C98" s="164"/>
      <c r="D98" s="242"/>
      <c r="E98" s="164"/>
      <c r="F98" s="165"/>
      <c r="G98" s="243"/>
      <c r="H98" s="244"/>
      <c r="I98" s="238"/>
      <c r="J98" s="238"/>
      <c r="K98" s="164"/>
      <c r="L98" s="158"/>
      <c r="M98" s="165"/>
      <c r="N98" s="239"/>
    </row>
    <row r="99" spans="1:14" x14ac:dyDescent="0.25">
      <c r="A99" s="128" t="s">
        <v>226</v>
      </c>
      <c r="B99" s="4"/>
      <c r="C99" s="68">
        <f>ROUND(CPI*D99,2)</f>
        <v>1483.89</v>
      </c>
      <c r="D99" s="237">
        <v>1110.49</v>
      </c>
      <c r="E99" s="132" t="s">
        <v>57</v>
      </c>
      <c r="F99" s="68">
        <f>ROUND(CPI*G99,2)</f>
        <v>1483.89</v>
      </c>
      <c r="G99" s="68">
        <v>1110.49</v>
      </c>
      <c r="H99" s="97">
        <f>IF($B$141="Yes",B99*F99,B99*C99)</f>
        <v>0</v>
      </c>
      <c r="I99" s="238"/>
      <c r="J99" s="238"/>
      <c r="K99" s="164"/>
      <c r="L99" s="158"/>
      <c r="M99" s="164"/>
      <c r="N99" s="239"/>
    </row>
    <row r="100" spans="1:14" x14ac:dyDescent="0.25">
      <c r="A100" s="128" t="s">
        <v>227</v>
      </c>
      <c r="B100" s="4"/>
      <c r="C100" s="68">
        <f>ROUND(CPI*D100,2)</f>
        <v>1927.62</v>
      </c>
      <c r="D100" s="237">
        <v>1442.56</v>
      </c>
      <c r="E100" s="132" t="s">
        <v>57</v>
      </c>
      <c r="F100" s="68">
        <f>ROUND(CPI*G100,2)</f>
        <v>1927.62</v>
      </c>
      <c r="G100" s="68">
        <v>1442.56</v>
      </c>
      <c r="H100" s="97">
        <f>IF($B$141="Yes",B100*F100,B100*C100)</f>
        <v>0</v>
      </c>
      <c r="I100" s="238"/>
      <c r="J100" s="238"/>
      <c r="K100" s="164"/>
      <c r="L100" s="158"/>
      <c r="M100" s="164"/>
      <c r="N100" s="239"/>
    </row>
    <row r="101" spans="1:14" x14ac:dyDescent="0.25">
      <c r="A101" s="128" t="s">
        <v>228</v>
      </c>
      <c r="B101" s="4"/>
      <c r="C101" s="68">
        <f>ROUND(CPI*D101,2)</f>
        <v>2372.79</v>
      </c>
      <c r="D101" s="237">
        <v>1775.71</v>
      </c>
      <c r="E101" s="132" t="s">
        <v>57</v>
      </c>
      <c r="F101" s="68">
        <f>ROUND(CPI*G101,2)</f>
        <v>2372.79</v>
      </c>
      <c r="G101" s="68">
        <v>1775.71</v>
      </c>
      <c r="H101" s="97">
        <f>IF($B$141="Yes",B101*F101,B101*C101)</f>
        <v>0</v>
      </c>
      <c r="I101" s="238"/>
      <c r="J101" s="238"/>
      <c r="K101" s="164"/>
      <c r="L101" s="158"/>
      <c r="M101" s="164"/>
      <c r="N101" s="239"/>
    </row>
    <row r="102" spans="1:14" x14ac:dyDescent="0.25">
      <c r="A102" s="128" t="s">
        <v>223</v>
      </c>
      <c r="B102" s="4"/>
      <c r="C102" s="68">
        <f>ROUND(CPI*D102,2)</f>
        <v>4447.3500000000004</v>
      </c>
      <c r="D102" s="237">
        <v>3328.24</v>
      </c>
      <c r="E102" s="132" t="s">
        <v>57</v>
      </c>
      <c r="F102" s="68">
        <f>ROUND(CPI*G102,2)</f>
        <v>4447.3500000000004</v>
      </c>
      <c r="G102" s="68">
        <v>3328.24</v>
      </c>
      <c r="H102" s="97">
        <f>IF($B$141="Yes",B102*F102,B102*C102)</f>
        <v>0</v>
      </c>
      <c r="I102" s="238"/>
      <c r="J102" s="238"/>
      <c r="K102" s="164"/>
      <c r="L102" s="158"/>
      <c r="M102" s="164"/>
      <c r="N102" s="239"/>
    </row>
    <row r="103" spans="1:14" x14ac:dyDescent="0.25">
      <c r="A103" s="23"/>
      <c r="B103" s="4"/>
      <c r="C103" s="60">
        <v>0</v>
      </c>
      <c r="D103" s="58"/>
      <c r="E103" s="59"/>
      <c r="F103" s="68">
        <v>0</v>
      </c>
      <c r="G103" s="237"/>
      <c r="H103" s="97">
        <f t="shared" ref="H103" si="14">IF($B$141="Yes",B103*F103,B103*C103)</f>
        <v>0</v>
      </c>
      <c r="I103" s="238"/>
      <c r="J103" s="238"/>
      <c r="K103" s="164"/>
      <c r="L103" s="158"/>
      <c r="M103" s="164"/>
      <c r="N103" s="239"/>
    </row>
    <row r="104" spans="1:14" x14ac:dyDescent="0.25">
      <c r="A104" s="240"/>
      <c r="B104" s="268"/>
      <c r="C104" s="164"/>
      <c r="D104" s="242"/>
      <c r="E104" s="165"/>
      <c r="F104" s="165"/>
      <c r="G104" s="243"/>
      <c r="H104" s="269"/>
      <c r="I104" s="238"/>
      <c r="J104" s="238"/>
      <c r="K104" s="164"/>
      <c r="L104" s="158"/>
      <c r="M104" s="165"/>
      <c r="N104" s="239"/>
    </row>
    <row r="105" spans="1:14" ht="13" x14ac:dyDescent="0.3">
      <c r="A105" s="236" t="s">
        <v>534</v>
      </c>
      <c r="B105" s="250"/>
      <c r="C105" s="172"/>
      <c r="D105" s="251"/>
      <c r="E105" s="172"/>
      <c r="F105" s="173"/>
      <c r="G105" s="252"/>
      <c r="H105" s="253"/>
      <c r="I105" s="238"/>
      <c r="J105" s="238"/>
      <c r="K105" s="164"/>
      <c r="L105" s="158"/>
      <c r="M105" s="165"/>
      <c r="N105" s="239"/>
    </row>
    <row r="106" spans="1:14" x14ac:dyDescent="0.25">
      <c r="A106" s="128" t="s">
        <v>64</v>
      </c>
      <c r="B106" s="6"/>
      <c r="C106" s="68">
        <f t="shared" ref="C106:C118" si="15">ROUND(CPI*D106,2)</f>
        <v>5935.57</v>
      </c>
      <c r="D106" s="251">
        <v>4441.97</v>
      </c>
      <c r="E106" s="174" t="s">
        <v>57</v>
      </c>
      <c r="F106" s="68">
        <f t="shared" ref="F106:F118" si="16">ROUND(CPI*G106,2)</f>
        <v>5935.57</v>
      </c>
      <c r="G106" s="254">
        <v>4441.97</v>
      </c>
      <c r="H106" s="104">
        <f t="shared" ref="H106:H118" si="17">IF($B$141="Yes",B106*F106,B106*C106)</f>
        <v>0</v>
      </c>
      <c r="I106" s="238"/>
      <c r="J106" s="238"/>
      <c r="K106" s="164"/>
      <c r="L106" s="158"/>
      <c r="M106" s="164"/>
      <c r="N106" s="239"/>
    </row>
    <row r="107" spans="1:14" x14ac:dyDescent="0.25">
      <c r="A107" s="128" t="s">
        <v>65</v>
      </c>
      <c r="B107" s="4"/>
      <c r="C107" s="68">
        <f t="shared" si="15"/>
        <v>6677.51</v>
      </c>
      <c r="D107" s="237">
        <v>4997.21</v>
      </c>
      <c r="E107" s="132" t="s">
        <v>57</v>
      </c>
      <c r="F107" s="68">
        <f t="shared" si="16"/>
        <v>6677.51</v>
      </c>
      <c r="G107" s="68">
        <v>4997.21</v>
      </c>
      <c r="H107" s="97">
        <f t="shared" si="17"/>
        <v>0</v>
      </c>
      <c r="I107" s="238"/>
      <c r="J107" s="238"/>
      <c r="K107" s="164"/>
      <c r="L107" s="158"/>
      <c r="M107" s="164"/>
      <c r="N107" s="239"/>
    </row>
    <row r="108" spans="1:14" x14ac:dyDescent="0.25">
      <c r="A108" s="128" t="s">
        <v>66</v>
      </c>
      <c r="B108" s="4"/>
      <c r="C108" s="68">
        <f t="shared" si="15"/>
        <v>8161.4</v>
      </c>
      <c r="D108" s="237">
        <v>6107.7</v>
      </c>
      <c r="E108" s="132" t="s">
        <v>57</v>
      </c>
      <c r="F108" s="68">
        <f t="shared" si="16"/>
        <v>8161.4</v>
      </c>
      <c r="G108" s="68">
        <v>6107.7</v>
      </c>
      <c r="H108" s="97">
        <f t="shared" si="17"/>
        <v>0</v>
      </c>
      <c r="I108" s="238"/>
      <c r="J108" s="238"/>
      <c r="K108" s="164"/>
      <c r="L108" s="158"/>
      <c r="M108" s="164"/>
      <c r="N108" s="239"/>
    </row>
    <row r="109" spans="1:14" x14ac:dyDescent="0.25">
      <c r="A109" s="128" t="s">
        <v>67</v>
      </c>
      <c r="B109" s="4"/>
      <c r="C109" s="68">
        <f t="shared" si="15"/>
        <v>10387.24</v>
      </c>
      <c r="D109" s="237">
        <v>7773.44</v>
      </c>
      <c r="E109" s="132" t="s">
        <v>57</v>
      </c>
      <c r="F109" s="68">
        <f t="shared" si="16"/>
        <v>10387.24</v>
      </c>
      <c r="G109" s="68">
        <v>7773.44</v>
      </c>
      <c r="H109" s="97">
        <f t="shared" si="17"/>
        <v>0</v>
      </c>
      <c r="I109" s="238"/>
      <c r="J109" s="238"/>
      <c r="K109" s="164"/>
      <c r="L109" s="158"/>
      <c r="M109" s="164"/>
      <c r="N109" s="239"/>
    </row>
    <row r="110" spans="1:14" x14ac:dyDescent="0.25">
      <c r="A110" s="128" t="s">
        <v>68</v>
      </c>
      <c r="B110" s="4"/>
      <c r="C110" s="68">
        <f t="shared" si="15"/>
        <v>11871.13</v>
      </c>
      <c r="D110" s="237">
        <v>8883.93</v>
      </c>
      <c r="E110" s="132" t="s">
        <v>57</v>
      </c>
      <c r="F110" s="68">
        <f t="shared" si="16"/>
        <v>11871.13</v>
      </c>
      <c r="G110" s="68">
        <v>8883.93</v>
      </c>
      <c r="H110" s="97">
        <f t="shared" si="17"/>
        <v>0</v>
      </c>
      <c r="I110" s="238"/>
      <c r="J110" s="238"/>
      <c r="K110" s="164"/>
      <c r="L110" s="158"/>
      <c r="M110" s="164"/>
      <c r="N110" s="239"/>
    </row>
    <row r="111" spans="1:14" x14ac:dyDescent="0.25">
      <c r="A111" s="128" t="s">
        <v>69</v>
      </c>
      <c r="B111" s="4"/>
      <c r="C111" s="68">
        <f t="shared" si="15"/>
        <v>7419.46</v>
      </c>
      <c r="D111" s="237">
        <v>5552.46</v>
      </c>
      <c r="E111" s="132" t="s">
        <v>57</v>
      </c>
      <c r="F111" s="68">
        <f t="shared" si="16"/>
        <v>7419.46</v>
      </c>
      <c r="G111" s="68">
        <v>5552.46</v>
      </c>
      <c r="H111" s="97">
        <f t="shared" si="17"/>
        <v>0</v>
      </c>
      <c r="I111" s="238"/>
      <c r="J111" s="238"/>
      <c r="K111" s="164"/>
      <c r="L111" s="158"/>
      <c r="M111" s="164"/>
      <c r="N111" s="239"/>
    </row>
    <row r="112" spans="1:14" x14ac:dyDescent="0.25">
      <c r="A112" s="128" t="s">
        <v>70</v>
      </c>
      <c r="B112" s="4"/>
      <c r="C112" s="68">
        <f t="shared" si="15"/>
        <v>8903.35</v>
      </c>
      <c r="D112" s="237">
        <v>6662.95</v>
      </c>
      <c r="E112" s="132" t="s">
        <v>57</v>
      </c>
      <c r="F112" s="68">
        <f t="shared" si="16"/>
        <v>8903.35</v>
      </c>
      <c r="G112" s="68">
        <v>6662.95</v>
      </c>
      <c r="H112" s="97">
        <f t="shared" si="17"/>
        <v>0</v>
      </c>
      <c r="I112" s="238"/>
      <c r="J112" s="238"/>
      <c r="K112" s="164"/>
      <c r="L112" s="158"/>
      <c r="M112" s="164"/>
      <c r="N112" s="239"/>
    </row>
    <row r="113" spans="1:14" x14ac:dyDescent="0.25">
      <c r="A113" s="128" t="s">
        <v>71</v>
      </c>
      <c r="B113" s="4"/>
      <c r="C113" s="68">
        <f t="shared" si="15"/>
        <v>9645.2900000000009</v>
      </c>
      <c r="D113" s="237">
        <v>7218.19</v>
      </c>
      <c r="E113" s="132" t="s">
        <v>57</v>
      </c>
      <c r="F113" s="68">
        <f t="shared" si="16"/>
        <v>9645.2900000000009</v>
      </c>
      <c r="G113" s="68">
        <v>7218.19</v>
      </c>
      <c r="H113" s="97">
        <f t="shared" si="17"/>
        <v>0</v>
      </c>
      <c r="I113" s="238"/>
      <c r="J113" s="238"/>
      <c r="K113" s="164"/>
      <c r="L113" s="158"/>
      <c r="M113" s="164"/>
      <c r="N113" s="239"/>
    </row>
    <row r="114" spans="1:14" x14ac:dyDescent="0.25">
      <c r="A114" s="128" t="s">
        <v>237</v>
      </c>
      <c r="B114" s="4"/>
      <c r="C114" s="68">
        <f t="shared" si="15"/>
        <v>11129.18</v>
      </c>
      <c r="D114" s="237">
        <v>8328.68</v>
      </c>
      <c r="E114" s="132" t="s">
        <v>57</v>
      </c>
      <c r="F114" s="68">
        <f t="shared" si="16"/>
        <v>11129.18</v>
      </c>
      <c r="G114" s="68">
        <v>8328.68</v>
      </c>
      <c r="H114" s="97">
        <f t="shared" si="17"/>
        <v>0</v>
      </c>
      <c r="I114" s="238"/>
      <c r="J114" s="238"/>
      <c r="K114" s="164"/>
      <c r="L114" s="158"/>
      <c r="M114" s="164"/>
      <c r="N114" s="239"/>
    </row>
    <row r="115" spans="1:14" x14ac:dyDescent="0.25">
      <c r="A115" s="128" t="s">
        <v>238</v>
      </c>
      <c r="B115" s="4"/>
      <c r="C115" s="68">
        <f t="shared" si="15"/>
        <v>13355.01</v>
      </c>
      <c r="D115" s="237">
        <v>9994.41</v>
      </c>
      <c r="E115" s="132" t="s">
        <v>57</v>
      </c>
      <c r="F115" s="68">
        <f t="shared" si="16"/>
        <v>13355.01</v>
      </c>
      <c r="G115" s="68">
        <v>9994.41</v>
      </c>
      <c r="H115" s="97">
        <f t="shared" si="17"/>
        <v>0</v>
      </c>
      <c r="I115" s="238"/>
      <c r="J115" s="238"/>
      <c r="K115" s="164"/>
      <c r="L115" s="158"/>
      <c r="M115" s="164"/>
      <c r="N115" s="239"/>
    </row>
    <row r="116" spans="1:14" x14ac:dyDescent="0.25">
      <c r="A116" s="128" t="s">
        <v>239</v>
      </c>
      <c r="B116" s="4"/>
      <c r="C116" s="68">
        <f t="shared" si="15"/>
        <v>16322.81</v>
      </c>
      <c r="D116" s="237">
        <v>12215.4</v>
      </c>
      <c r="E116" s="132" t="s">
        <v>57</v>
      </c>
      <c r="F116" s="68">
        <f t="shared" si="16"/>
        <v>16322.81</v>
      </c>
      <c r="G116" s="68">
        <v>12215.4</v>
      </c>
      <c r="H116" s="97">
        <f t="shared" si="17"/>
        <v>0</v>
      </c>
      <c r="I116" s="238"/>
      <c r="J116" s="238"/>
      <c r="K116" s="164"/>
      <c r="L116" s="158"/>
      <c r="M116" s="164"/>
      <c r="N116" s="239"/>
    </row>
    <row r="117" spans="1:14" x14ac:dyDescent="0.25">
      <c r="A117" s="128" t="s">
        <v>72</v>
      </c>
      <c r="B117" s="4"/>
      <c r="C117" s="68">
        <f t="shared" si="15"/>
        <v>16322.81</v>
      </c>
      <c r="D117" s="237">
        <v>12215.4</v>
      </c>
      <c r="E117" s="132" t="s">
        <v>57</v>
      </c>
      <c r="F117" s="68">
        <f t="shared" si="16"/>
        <v>16322.81</v>
      </c>
      <c r="G117" s="68">
        <v>12215.4</v>
      </c>
      <c r="H117" s="97">
        <f t="shared" si="17"/>
        <v>0</v>
      </c>
      <c r="I117" s="238"/>
      <c r="J117" s="238"/>
      <c r="K117" s="164"/>
      <c r="L117" s="158"/>
      <c r="M117" s="164"/>
      <c r="N117" s="239"/>
    </row>
    <row r="118" spans="1:14" ht="13" thickBot="1" x14ac:dyDescent="0.3">
      <c r="A118" s="270" t="s">
        <v>73</v>
      </c>
      <c r="B118" s="7"/>
      <c r="C118" s="68">
        <f t="shared" si="15"/>
        <v>17806.71</v>
      </c>
      <c r="D118" s="271">
        <v>13325.9</v>
      </c>
      <c r="E118" s="147" t="s">
        <v>57</v>
      </c>
      <c r="F118" s="68">
        <f t="shared" si="16"/>
        <v>17806.71</v>
      </c>
      <c r="G118" s="272">
        <v>13325.9</v>
      </c>
      <c r="H118" s="98">
        <f t="shared" si="17"/>
        <v>0</v>
      </c>
      <c r="I118" s="238"/>
      <c r="J118" s="238"/>
      <c r="K118" s="164"/>
      <c r="L118" s="158"/>
      <c r="M118" s="164"/>
      <c r="N118" s="239"/>
    </row>
    <row r="119" spans="1:14" ht="13.5" thickBot="1" x14ac:dyDescent="0.35">
      <c r="A119" s="169"/>
      <c r="B119" s="273"/>
      <c r="C119" s="585" t="s">
        <v>413</v>
      </c>
      <c r="D119" s="586"/>
      <c r="E119" s="587"/>
      <c r="F119" s="587"/>
      <c r="G119" s="274"/>
      <c r="H119" s="105">
        <f>SUM(H16:H118)</f>
        <v>0</v>
      </c>
      <c r="I119" s="238"/>
      <c r="J119" s="238"/>
      <c r="K119" s="164"/>
      <c r="L119" s="158"/>
      <c r="M119" s="164"/>
      <c r="N119" s="239"/>
    </row>
    <row r="120" spans="1:14" ht="13" thickBot="1" x14ac:dyDescent="0.3">
      <c r="A120" s="165"/>
      <c r="B120" s="268"/>
      <c r="C120" s="164"/>
      <c r="D120" s="164"/>
      <c r="E120" s="165"/>
      <c r="F120" s="164"/>
      <c r="G120" s="164"/>
      <c r="H120" s="168"/>
      <c r="I120" s="238"/>
      <c r="J120" s="238"/>
      <c r="K120" s="164"/>
      <c r="L120" s="158"/>
      <c r="M120" s="164"/>
      <c r="N120" s="239"/>
    </row>
    <row r="121" spans="1:14" ht="13.5" thickBot="1" x14ac:dyDescent="0.35">
      <c r="A121" s="574" t="s">
        <v>401</v>
      </c>
      <c r="B121" s="575"/>
      <c r="C121" s="575"/>
      <c r="D121" s="575"/>
      <c r="E121" s="575"/>
      <c r="F121" s="575"/>
      <c r="G121" s="575"/>
      <c r="H121" s="576"/>
      <c r="I121" s="238"/>
      <c r="J121" s="238"/>
      <c r="K121" s="164"/>
      <c r="L121" s="158"/>
      <c r="M121" s="164"/>
      <c r="N121" s="239"/>
    </row>
    <row r="122" spans="1:14" ht="13.5" thickBot="1" x14ac:dyDescent="0.35">
      <c r="A122" s="233" t="s">
        <v>0</v>
      </c>
      <c r="B122" s="234" t="s">
        <v>1</v>
      </c>
      <c r="C122" s="567" t="s">
        <v>2</v>
      </c>
      <c r="D122" s="568"/>
      <c r="E122" s="568"/>
      <c r="F122" s="569"/>
      <c r="G122" s="235"/>
      <c r="H122" s="233" t="s">
        <v>3</v>
      </c>
      <c r="I122" s="238"/>
      <c r="J122" s="238"/>
      <c r="K122" s="164"/>
      <c r="L122" s="158"/>
      <c r="M122" s="164"/>
      <c r="N122" s="239"/>
    </row>
    <row r="123" spans="1:14" x14ac:dyDescent="0.25">
      <c r="A123" s="125"/>
      <c r="B123" s="126"/>
      <c r="C123" s="570" t="s">
        <v>63</v>
      </c>
      <c r="D123" s="571"/>
      <c r="E123" s="572"/>
      <c r="F123" s="96" t="s">
        <v>62</v>
      </c>
      <c r="G123" s="173"/>
      <c r="H123" s="127"/>
      <c r="I123" s="238"/>
      <c r="J123" s="238"/>
      <c r="K123" s="164"/>
      <c r="L123" s="158"/>
      <c r="M123" s="164"/>
      <c r="N123" s="239"/>
    </row>
    <row r="124" spans="1:14" ht="13" thickBot="1" x14ac:dyDescent="0.3">
      <c r="A124" s="270" t="s">
        <v>84</v>
      </c>
      <c r="B124" s="7"/>
      <c r="C124" s="68">
        <f>ROUND(CPI*D124,2)</f>
        <v>32147</v>
      </c>
      <c r="D124" s="271">
        <v>24057.66</v>
      </c>
      <c r="E124" s="147" t="s">
        <v>57</v>
      </c>
      <c r="F124" s="68">
        <f>ROUND(CPI*G124,2)</f>
        <v>32147</v>
      </c>
      <c r="G124" s="271">
        <v>24057.66</v>
      </c>
      <c r="H124" s="98">
        <f>IF($B$141="Yes",B124*F124,B124*C124)</f>
        <v>0</v>
      </c>
      <c r="I124" s="238"/>
      <c r="J124" s="238"/>
      <c r="K124" s="164"/>
      <c r="L124" s="158"/>
      <c r="M124" s="164"/>
      <c r="N124" s="239"/>
    </row>
    <row r="125" spans="1:14" ht="13.5" thickBot="1" x14ac:dyDescent="0.35">
      <c r="A125" s="169"/>
      <c r="B125" s="169"/>
      <c r="C125" s="588" t="s">
        <v>403</v>
      </c>
      <c r="D125" s="589"/>
      <c r="E125" s="590"/>
      <c r="F125" s="591"/>
      <c r="G125" s="275"/>
      <c r="H125" s="106">
        <f>SUM(H124)</f>
        <v>0</v>
      </c>
      <c r="I125" s="238"/>
      <c r="J125" s="238"/>
      <c r="K125" s="164"/>
      <c r="L125" s="158"/>
      <c r="M125" s="164"/>
      <c r="N125" s="239"/>
    </row>
    <row r="126" spans="1:14" ht="13.5" thickBot="1" x14ac:dyDescent="0.35">
      <c r="A126" s="501"/>
      <c r="B126" s="169"/>
      <c r="C126" s="169"/>
      <c r="D126" s="169"/>
      <c r="E126" s="169"/>
      <c r="F126" s="169"/>
      <c r="G126" s="169"/>
      <c r="H126" s="168"/>
      <c r="I126" s="238"/>
      <c r="J126" s="238"/>
      <c r="K126" s="164"/>
      <c r="L126" s="158"/>
      <c r="M126" s="164"/>
      <c r="N126" s="239"/>
    </row>
    <row r="127" spans="1:14" ht="13.5" thickBot="1" x14ac:dyDescent="0.35">
      <c r="A127" s="573" t="s">
        <v>402</v>
      </c>
      <c r="B127" s="565"/>
      <c r="C127" s="565"/>
      <c r="D127" s="565"/>
      <c r="E127" s="565"/>
      <c r="F127" s="565"/>
      <c r="G127" s="565"/>
      <c r="H127" s="566"/>
      <c r="I127" s="238"/>
      <c r="J127" s="238"/>
      <c r="K127" s="164"/>
      <c r="L127" s="158"/>
      <c r="M127" s="164"/>
      <c r="N127" s="239"/>
    </row>
    <row r="128" spans="1:14" ht="13.5" thickBot="1" x14ac:dyDescent="0.35">
      <c r="A128" s="233" t="s">
        <v>0</v>
      </c>
      <c r="B128" s="234" t="s">
        <v>1</v>
      </c>
      <c r="C128" s="567" t="s">
        <v>2</v>
      </c>
      <c r="D128" s="568"/>
      <c r="E128" s="568"/>
      <c r="F128" s="569"/>
      <c r="G128" s="235"/>
      <c r="H128" s="233" t="s">
        <v>3</v>
      </c>
      <c r="I128" s="238"/>
      <c r="J128" s="238"/>
      <c r="K128" s="164"/>
      <c r="L128" s="158"/>
      <c r="M128" s="164"/>
      <c r="N128" s="239"/>
    </row>
    <row r="129" spans="1:14" x14ac:dyDescent="0.25">
      <c r="A129" s="125"/>
      <c r="B129" s="126"/>
      <c r="C129" s="570" t="s">
        <v>63</v>
      </c>
      <c r="D129" s="571"/>
      <c r="E129" s="572"/>
      <c r="F129" s="96" t="s">
        <v>62</v>
      </c>
      <c r="G129" s="173"/>
      <c r="H129" s="127"/>
      <c r="I129" s="238"/>
      <c r="J129" s="238"/>
      <c r="K129" s="164"/>
      <c r="L129" s="158"/>
      <c r="M129" s="239"/>
      <c r="N129" s="239"/>
    </row>
    <row r="130" spans="1:14" ht="13" thickBot="1" x14ac:dyDescent="0.3">
      <c r="A130" s="270" t="s">
        <v>34</v>
      </c>
      <c r="B130" s="7"/>
      <c r="C130" s="68">
        <f>ROUND(CPI*D130,2)</f>
        <v>290.97000000000003</v>
      </c>
      <c r="D130" s="271">
        <v>217.75</v>
      </c>
      <c r="E130" s="147" t="s">
        <v>58</v>
      </c>
      <c r="F130" s="68">
        <f>ROUND(CPI*G130,2)</f>
        <v>296.77999999999997</v>
      </c>
      <c r="G130" s="272">
        <v>222.1</v>
      </c>
      <c r="H130" s="98">
        <f>IF($B$141="Yes",B130*F130,B130*C130)</f>
        <v>0</v>
      </c>
      <c r="I130" s="238"/>
      <c r="J130" s="238"/>
      <c r="K130" s="164"/>
      <c r="L130" s="158"/>
      <c r="M130" s="239"/>
      <c r="N130" s="239"/>
    </row>
    <row r="131" spans="1:14" ht="13.5" thickBot="1" x14ac:dyDescent="0.35">
      <c r="A131" s="169"/>
      <c r="B131" s="169"/>
      <c r="C131" s="592" t="s">
        <v>404</v>
      </c>
      <c r="D131" s="593"/>
      <c r="E131" s="593"/>
      <c r="F131" s="594"/>
      <c r="G131" s="276"/>
      <c r="H131" s="107">
        <f>SUM(H130)</f>
        <v>0</v>
      </c>
      <c r="I131" s="238"/>
      <c r="J131" s="238"/>
      <c r="K131" s="164"/>
      <c r="L131" s="158"/>
      <c r="M131" s="239"/>
      <c r="N131" s="239"/>
    </row>
    <row r="132" spans="1:14" ht="13" thickBot="1" x14ac:dyDescent="0.3">
      <c r="A132" s="462"/>
      <c r="B132" s="268"/>
      <c r="C132" s="164"/>
      <c r="D132" s="164"/>
      <c r="E132" s="165"/>
      <c r="F132" s="164"/>
      <c r="G132" s="164"/>
      <c r="H132" s="168"/>
      <c r="I132" s="238"/>
      <c r="J132" s="238"/>
      <c r="K132" s="164"/>
      <c r="L132" s="158"/>
      <c r="M132" s="239"/>
      <c r="N132" s="239"/>
    </row>
    <row r="133" spans="1:14" ht="13.5" thickBot="1" x14ac:dyDescent="0.35">
      <c r="A133" s="573" t="s">
        <v>400</v>
      </c>
      <c r="B133" s="565"/>
      <c r="C133" s="565"/>
      <c r="D133" s="565"/>
      <c r="E133" s="565"/>
      <c r="F133" s="565"/>
      <c r="G133" s="565"/>
      <c r="H133" s="566"/>
      <c r="I133" s="238"/>
      <c r="J133" s="238"/>
      <c r="K133" s="164"/>
      <c r="L133" s="158"/>
      <c r="M133" s="239"/>
      <c r="N133" s="239"/>
    </row>
    <row r="134" spans="1:14" ht="13.5" thickBot="1" x14ac:dyDescent="0.35">
      <c r="A134" s="233" t="s">
        <v>0</v>
      </c>
      <c r="B134" s="234" t="s">
        <v>1</v>
      </c>
      <c r="C134" s="567" t="s">
        <v>2</v>
      </c>
      <c r="D134" s="568"/>
      <c r="E134" s="568"/>
      <c r="F134" s="569"/>
      <c r="G134" s="235"/>
      <c r="H134" s="233" t="s">
        <v>3</v>
      </c>
      <c r="I134" s="238"/>
      <c r="J134" s="238"/>
      <c r="K134" s="164"/>
      <c r="L134" s="158"/>
      <c r="M134" s="239"/>
      <c r="N134" s="239"/>
    </row>
    <row r="135" spans="1:14" ht="13" x14ac:dyDescent="0.3">
      <c r="A135" s="236" t="s">
        <v>387</v>
      </c>
      <c r="B135" s="135"/>
      <c r="C135" s="73"/>
      <c r="D135" s="73"/>
      <c r="E135" s="277"/>
      <c r="F135" s="278"/>
      <c r="G135" s="279"/>
      <c r="H135" s="97">
        <f>SUM('Signing and Striping'!H17:H21)</f>
        <v>0</v>
      </c>
      <c r="I135" s="238"/>
      <c r="J135" s="238"/>
      <c r="K135" s="164"/>
      <c r="L135" s="158"/>
      <c r="M135" s="239"/>
      <c r="N135" s="239"/>
    </row>
    <row r="136" spans="1:14" x14ac:dyDescent="0.25">
      <c r="A136" s="280"/>
      <c r="B136" s="268"/>
      <c r="C136" s="281"/>
      <c r="D136" s="281"/>
      <c r="E136" s="165"/>
      <c r="F136" s="158"/>
      <c r="G136" s="158"/>
      <c r="H136" s="282"/>
      <c r="I136" s="238"/>
      <c r="J136" s="238"/>
      <c r="K136" s="164"/>
      <c r="L136" s="158"/>
      <c r="M136" s="239"/>
      <c r="N136" s="239"/>
    </row>
    <row r="137" spans="1:14" ht="13" x14ac:dyDescent="0.3">
      <c r="A137" s="236" t="s">
        <v>341</v>
      </c>
      <c r="B137" s="135"/>
      <c r="C137" s="73"/>
      <c r="D137" s="73"/>
      <c r="E137" s="277"/>
      <c r="F137" s="69"/>
      <c r="G137" s="283"/>
      <c r="H137" s="97">
        <f>SUM('Signing and Striping'!H24:H81)</f>
        <v>0</v>
      </c>
      <c r="I137" s="238"/>
      <c r="J137" s="238"/>
      <c r="K137" s="164"/>
      <c r="L137" s="158"/>
      <c r="M137" s="239"/>
      <c r="N137" s="239"/>
    </row>
    <row r="138" spans="1:14" ht="13.5" thickBot="1" x14ac:dyDescent="0.35">
      <c r="A138" s="284"/>
      <c r="B138" s="169"/>
      <c r="C138" s="595" t="s">
        <v>405</v>
      </c>
      <c r="D138" s="596"/>
      <c r="E138" s="596"/>
      <c r="F138" s="597"/>
      <c r="G138" s="285"/>
      <c r="H138" s="99">
        <f>'Signing and Striping'!H82</f>
        <v>0</v>
      </c>
      <c r="I138" s="238"/>
      <c r="J138" s="238"/>
      <c r="K138" s="164"/>
      <c r="L138" s="158"/>
    </row>
    <row r="139" spans="1:14" ht="13.5" thickBot="1" x14ac:dyDescent="0.35">
      <c r="A139" s="284"/>
      <c r="B139" s="169"/>
      <c r="C139" s="169"/>
      <c r="D139" s="169"/>
      <c r="E139" s="169"/>
      <c r="F139" s="169"/>
      <c r="G139" s="169"/>
      <c r="H139" s="286"/>
      <c r="I139" s="238"/>
      <c r="J139" s="238"/>
      <c r="K139" s="164"/>
      <c r="L139" s="158"/>
    </row>
    <row r="140" spans="1:14" ht="13.5" thickBot="1" x14ac:dyDescent="0.35">
      <c r="C140" s="287"/>
      <c r="D140" s="288"/>
      <c r="E140" s="288"/>
      <c r="F140" s="275" t="s">
        <v>408</v>
      </c>
      <c r="G140" s="275"/>
      <c r="H140" s="105">
        <f>H119+H125+H131+H138</f>
        <v>0</v>
      </c>
      <c r="I140" s="238">
        <f>H140-SUM(H106:H118)</f>
        <v>0</v>
      </c>
      <c r="J140" s="238"/>
      <c r="K140" s="164"/>
      <c r="L140" s="158"/>
    </row>
    <row r="141" spans="1:14" ht="13" thickBot="1" x14ac:dyDescent="0.3">
      <c r="A141" s="289" t="s">
        <v>411</v>
      </c>
      <c r="B141" s="8"/>
      <c r="C141" s="164"/>
      <c r="D141" s="164"/>
      <c r="E141" s="164"/>
      <c r="F141" s="150"/>
      <c r="G141" s="150"/>
      <c r="H141" s="168"/>
      <c r="I141" s="238"/>
      <c r="J141" s="238"/>
      <c r="K141" s="164"/>
      <c r="L141" s="158"/>
    </row>
    <row r="142" spans="1:14" ht="13.5" thickBot="1" x14ac:dyDescent="0.35">
      <c r="A142" s="564" t="s">
        <v>414</v>
      </c>
      <c r="B142" s="565"/>
      <c r="C142" s="565"/>
      <c r="D142" s="565"/>
      <c r="E142" s="565"/>
      <c r="F142" s="565"/>
      <c r="G142" s="565"/>
      <c r="H142" s="566"/>
      <c r="I142" s="238"/>
      <c r="J142" s="238"/>
      <c r="K142" s="164"/>
      <c r="L142" s="158"/>
    </row>
    <row r="143" spans="1:14" ht="13" thickBot="1" x14ac:dyDescent="0.3">
      <c r="A143" s="290" t="s">
        <v>412</v>
      </c>
      <c r="B143" s="8"/>
      <c r="C143" s="291"/>
      <c r="D143" s="291"/>
      <c r="E143" s="258"/>
      <c r="F143" s="150" t="s">
        <v>406</v>
      </c>
      <c r="G143" s="150"/>
      <c r="H143" s="97">
        <f>IF($B$143="Yes",0.05*I140,0)</f>
        <v>0</v>
      </c>
      <c r="I143" s="238"/>
      <c r="J143" s="238"/>
      <c r="K143" s="164"/>
      <c r="L143" s="158"/>
    </row>
    <row r="144" spans="1:14" x14ac:dyDescent="0.25">
      <c r="A144" s="292"/>
      <c r="B144" s="293"/>
      <c r="C144" s="291"/>
      <c r="D144" s="291"/>
      <c r="E144" s="164"/>
      <c r="F144" s="150" t="s">
        <v>407</v>
      </c>
      <c r="G144" s="150"/>
      <c r="H144" s="97">
        <f>0.15*(I140+H143)</f>
        <v>0</v>
      </c>
      <c r="I144" s="238"/>
      <c r="J144" s="238"/>
      <c r="K144" s="164"/>
      <c r="L144" s="158"/>
    </row>
    <row r="145" spans="1:14" x14ac:dyDescent="0.25">
      <c r="A145" s="294"/>
      <c r="B145" s="152"/>
      <c r="C145" s="164"/>
      <c r="D145" s="164"/>
      <c r="E145" s="164"/>
      <c r="F145" s="150" t="s">
        <v>409</v>
      </c>
      <c r="G145" s="150"/>
      <c r="H145" s="97">
        <f>0.12*(I140+H143+H144)</f>
        <v>0</v>
      </c>
      <c r="I145" s="238"/>
      <c r="J145" s="238"/>
      <c r="K145" s="164"/>
      <c r="L145" s="158"/>
    </row>
    <row r="146" spans="1:14" x14ac:dyDescent="0.25">
      <c r="A146" s="240"/>
      <c r="B146" s="163"/>
      <c r="C146" s="164"/>
      <c r="D146" s="164"/>
      <c r="E146" s="164"/>
      <c r="F146" s="150" t="s">
        <v>410</v>
      </c>
      <c r="G146" s="150"/>
      <c r="H146" s="97">
        <f>SUM(H141:H145)+I140</f>
        <v>0</v>
      </c>
      <c r="I146" s="238"/>
      <c r="J146" s="238"/>
      <c r="K146" s="164"/>
      <c r="L146" s="158"/>
    </row>
    <row r="147" spans="1:14" ht="13" thickBot="1" x14ac:dyDescent="0.3">
      <c r="A147" s="295"/>
      <c r="B147" s="152"/>
      <c r="C147" s="164"/>
      <c r="D147" s="164"/>
      <c r="E147" s="164"/>
      <c r="F147" s="150" t="s">
        <v>424</v>
      </c>
      <c r="G147" s="150"/>
      <c r="H147" s="98">
        <f>IF(I140&gt;1,(IF((I140+H144)&lt;$H$197,$B$196,IF((I140+H144)&lt;$H$198,$B$197+($E$197*((I140+H144)-$H$197)),IF((I140+H144)&lt;$H$199,$B$198+($E$198*((I140+H144)-$H$198)),IF((I140+H144)&lt;$H$200,$B$199+($E$199*((I140+H144)-$H$199)),$B$200+($E$200*((I140+H144)-$H$200))))))),0)</f>
        <v>0</v>
      </c>
      <c r="I147" s="238"/>
      <c r="J147" s="238"/>
      <c r="K147" s="164"/>
      <c r="L147" s="158"/>
      <c r="N147" s="296"/>
    </row>
    <row r="148" spans="1:14" ht="13.5" thickBot="1" x14ac:dyDescent="0.35">
      <c r="A148" s="240"/>
      <c r="B148" s="163"/>
      <c r="C148" s="164"/>
      <c r="D148" s="164"/>
      <c r="E148" s="164"/>
      <c r="F148" s="155" t="s">
        <v>417</v>
      </c>
      <c r="G148" s="155"/>
      <c r="H148" s="108">
        <f>ROUNDUP(H146+H147,-2)</f>
        <v>0</v>
      </c>
      <c r="I148" s="238"/>
      <c r="J148" s="238"/>
      <c r="K148" s="164"/>
      <c r="L148" s="158"/>
    </row>
    <row r="149" spans="1:14" ht="13" thickBot="1" x14ac:dyDescent="0.3">
      <c r="A149" s="297"/>
      <c r="B149" s="298"/>
      <c r="C149" s="299"/>
      <c r="D149" s="299"/>
      <c r="E149" s="300"/>
      <c r="F149" s="301"/>
      <c r="G149" s="301"/>
      <c r="H149" s="302" t="s">
        <v>250</v>
      </c>
      <c r="I149" s="238"/>
      <c r="J149" s="238"/>
      <c r="K149" s="164"/>
      <c r="L149" s="158"/>
    </row>
    <row r="150" spans="1:14" ht="13" thickBot="1" x14ac:dyDescent="0.3">
      <c r="A150" s="118"/>
      <c r="B150" s="122"/>
      <c r="C150" s="120"/>
      <c r="D150" s="120"/>
      <c r="E150" s="156"/>
      <c r="F150" s="114"/>
      <c r="G150" s="114"/>
      <c r="H150" s="157"/>
      <c r="I150" s="238"/>
      <c r="J150" s="238"/>
      <c r="K150" s="164"/>
      <c r="L150" s="158"/>
    </row>
    <row r="151" spans="1:14" ht="13.5" thickBot="1" x14ac:dyDescent="0.35">
      <c r="A151" s="564" t="s">
        <v>415</v>
      </c>
      <c r="B151" s="565"/>
      <c r="C151" s="565"/>
      <c r="D151" s="565"/>
      <c r="E151" s="565"/>
      <c r="F151" s="565"/>
      <c r="G151" s="565"/>
      <c r="H151" s="566"/>
      <c r="I151" s="238"/>
      <c r="J151" s="238"/>
      <c r="K151" s="164"/>
      <c r="L151" s="158"/>
    </row>
    <row r="152" spans="1:14" ht="13.5" thickBot="1" x14ac:dyDescent="0.35">
      <c r="A152" s="233" t="s">
        <v>0</v>
      </c>
      <c r="B152" s="234" t="s">
        <v>1</v>
      </c>
      <c r="C152" s="567" t="s">
        <v>2</v>
      </c>
      <c r="D152" s="568"/>
      <c r="E152" s="568"/>
      <c r="F152" s="569"/>
      <c r="G152" s="235"/>
      <c r="H152" s="233" t="s">
        <v>3</v>
      </c>
      <c r="I152" s="238"/>
      <c r="J152" s="238"/>
      <c r="K152" s="164"/>
      <c r="L152" s="158"/>
    </row>
    <row r="153" spans="1:14" x14ac:dyDescent="0.25">
      <c r="A153" s="125"/>
      <c r="B153" s="126"/>
      <c r="C153" s="570" t="s">
        <v>63</v>
      </c>
      <c r="D153" s="571"/>
      <c r="E153" s="572"/>
      <c r="F153" s="96" t="s">
        <v>62</v>
      </c>
      <c r="G153" s="173"/>
      <c r="H153" s="127"/>
      <c r="I153" s="238"/>
      <c r="J153" s="238"/>
      <c r="K153" s="164"/>
      <c r="L153" s="158"/>
    </row>
    <row r="154" spans="1:14" x14ac:dyDescent="0.25">
      <c r="A154" s="128" t="s">
        <v>416</v>
      </c>
      <c r="B154" s="9"/>
      <c r="C154" s="68">
        <f>ROUND(CPI*D154,2)</f>
        <v>741.23</v>
      </c>
      <c r="D154" s="303">
        <v>554.71</v>
      </c>
      <c r="E154" s="277" t="s">
        <v>57</v>
      </c>
      <c r="F154" s="68">
        <f>ROUND(CPI*G154,2)</f>
        <v>741.23</v>
      </c>
      <c r="G154" s="303">
        <v>554.71</v>
      </c>
      <c r="H154" s="66">
        <f>IF($B$141="YES",B154*F154,B154*C154)</f>
        <v>0</v>
      </c>
      <c r="I154" s="238"/>
      <c r="J154" s="238"/>
      <c r="K154" s="164"/>
      <c r="L154" s="158"/>
    </row>
    <row r="155" spans="1:14" x14ac:dyDescent="0.25">
      <c r="A155" s="240"/>
      <c r="B155" s="165"/>
      <c r="C155" s="165"/>
      <c r="D155" s="165"/>
      <c r="E155" s="165"/>
      <c r="F155" s="165"/>
      <c r="G155" s="165"/>
      <c r="H155" s="244"/>
      <c r="I155" s="118"/>
      <c r="J155" s="118"/>
    </row>
    <row r="156" spans="1:14" x14ac:dyDescent="0.25">
      <c r="A156" s="240"/>
      <c r="B156" s="164"/>
      <c r="C156" s="164"/>
      <c r="D156" s="164"/>
      <c r="E156" s="150"/>
      <c r="F156" s="157" t="s">
        <v>418</v>
      </c>
      <c r="G156" s="157"/>
      <c r="H156" s="66">
        <f>H154</f>
        <v>0</v>
      </c>
      <c r="I156" s="118"/>
      <c r="J156" s="118"/>
    </row>
    <row r="157" spans="1:14" x14ac:dyDescent="0.25">
      <c r="A157" s="240"/>
      <c r="B157" s="291"/>
      <c r="C157" s="164"/>
      <c r="D157" s="164"/>
      <c r="E157" s="258"/>
      <c r="F157" s="150" t="s">
        <v>419</v>
      </c>
      <c r="G157" s="150"/>
      <c r="H157" s="66">
        <f>(0.15*H156)</f>
        <v>0</v>
      </c>
      <c r="I157" s="118"/>
      <c r="J157" s="118"/>
    </row>
    <row r="158" spans="1:14" x14ac:dyDescent="0.25">
      <c r="A158" s="240"/>
      <c r="B158" s="164"/>
      <c r="C158" s="164"/>
      <c r="D158" s="164"/>
      <c r="E158" s="258"/>
      <c r="F158" s="150" t="s">
        <v>420</v>
      </c>
      <c r="G158" s="150"/>
      <c r="H158" s="66">
        <f>0.12*(H156+H157)</f>
        <v>0</v>
      </c>
      <c r="I158" s="118"/>
      <c r="J158" s="118"/>
    </row>
    <row r="159" spans="1:14" x14ac:dyDescent="0.25">
      <c r="A159" s="240"/>
      <c r="B159" s="164"/>
      <c r="C159" s="164"/>
      <c r="D159" s="164"/>
      <c r="E159" s="258"/>
      <c r="F159" s="150" t="s">
        <v>421</v>
      </c>
      <c r="G159" s="150"/>
      <c r="H159" s="66">
        <f>SUM(H156:H158)</f>
        <v>0</v>
      </c>
      <c r="I159" s="118"/>
      <c r="J159" s="118"/>
    </row>
    <row r="160" spans="1:14" ht="13" thickBot="1" x14ac:dyDescent="0.3">
      <c r="A160" s="240"/>
      <c r="B160" s="164"/>
      <c r="C160" s="164"/>
      <c r="D160" s="164"/>
      <c r="E160" s="258"/>
      <c r="F160" s="150" t="s">
        <v>425</v>
      </c>
      <c r="G160" s="150"/>
      <c r="H160" s="109">
        <f>IF(H156&gt;1,(IF((H156+H157)&lt;$H$197,$B$196,IF((H156+H157)&lt;$H$198,$B$197+($E$197*((H156+H157)-$H$197)),IF((H156+H157)&lt;$H$199,$B$198+($E$198*((H156+H157)-$H$198)),IF((H156+H157)&lt;$H$200,$B$199+($E$199*((H156+H157)-$H$199)),$B$200+($E$200*((H156+H157)-$H$200))))))),0)</f>
        <v>0</v>
      </c>
      <c r="I160" s="118"/>
      <c r="J160" s="118"/>
    </row>
    <row r="161" spans="1:12" ht="13.5" thickBot="1" x14ac:dyDescent="0.35">
      <c r="A161" s="240"/>
      <c r="B161" s="164"/>
      <c r="C161" s="164"/>
      <c r="D161" s="164"/>
      <c r="E161" s="258"/>
      <c r="F161" s="155" t="s">
        <v>422</v>
      </c>
      <c r="G161" s="155"/>
      <c r="H161" s="110">
        <f>ROUNDUP(H159+H160,-2)</f>
        <v>0</v>
      </c>
      <c r="I161" s="118"/>
      <c r="J161" s="118"/>
    </row>
    <row r="162" spans="1:12" ht="13" thickBot="1" x14ac:dyDescent="0.3">
      <c r="A162" s="297"/>
      <c r="B162" s="299"/>
      <c r="C162" s="299"/>
      <c r="D162" s="299"/>
      <c r="E162" s="304"/>
      <c r="F162" s="305"/>
      <c r="G162" s="305"/>
      <c r="H162" s="302" t="s">
        <v>250</v>
      </c>
      <c r="I162" s="118"/>
      <c r="J162" s="118"/>
    </row>
    <row r="163" spans="1:12" ht="13" thickBot="1" x14ac:dyDescent="0.3">
      <c r="A163" s="165"/>
      <c r="B163" s="163"/>
      <c r="C163" s="164"/>
      <c r="D163" s="164"/>
      <c r="E163" s="164"/>
      <c r="F163" s="306"/>
      <c r="G163" s="306"/>
      <c r="H163" s="165"/>
      <c r="I163" s="118"/>
      <c r="J163" s="118"/>
    </row>
    <row r="164" spans="1:12" ht="13.5" thickBot="1" x14ac:dyDescent="0.35">
      <c r="A164" s="564" t="s">
        <v>98</v>
      </c>
      <c r="B164" s="565"/>
      <c r="C164" s="565"/>
      <c r="D164" s="565"/>
      <c r="E164" s="565"/>
      <c r="F164" s="565"/>
      <c r="G164" s="565"/>
      <c r="H164" s="566"/>
      <c r="I164" s="118"/>
      <c r="J164" s="118"/>
    </row>
    <row r="165" spans="1:12" ht="13" x14ac:dyDescent="0.3">
      <c r="A165" s="307"/>
      <c r="B165" s="308"/>
      <c r="C165" s="308"/>
      <c r="D165" s="308"/>
      <c r="E165" s="149" t="s">
        <v>497</v>
      </c>
      <c r="F165" s="31"/>
      <c r="G165" s="309"/>
      <c r="H165" s="111">
        <v>0</v>
      </c>
      <c r="I165" s="118"/>
      <c r="J165" s="118"/>
    </row>
    <row r="166" spans="1:12" ht="13.5" customHeight="1" thickBot="1" x14ac:dyDescent="0.3">
      <c r="A166" s="310"/>
      <c r="B166" s="311"/>
      <c r="C166" s="311"/>
      <c r="D166" s="311"/>
      <c r="E166" s="312"/>
      <c r="F166" s="150" t="s">
        <v>493</v>
      </c>
      <c r="G166" s="150"/>
      <c r="H166" s="97">
        <f>H119+0.15*H119</f>
        <v>0</v>
      </c>
      <c r="I166" s="118"/>
      <c r="J166" s="118"/>
    </row>
    <row r="167" spans="1:12" ht="13.5" thickBot="1" x14ac:dyDescent="0.35">
      <c r="A167" s="297"/>
      <c r="B167" s="298"/>
      <c r="C167" s="299"/>
      <c r="D167" s="299"/>
      <c r="E167" s="313"/>
      <c r="F167" s="285" t="s">
        <v>496</v>
      </c>
      <c r="G167" s="285"/>
      <c r="H167" s="112">
        <f>ROUND(IF(H166&gt;1,IF(H166&lt;10001,IF(H166&lt;5001,B184+H165,B184+E184*(H166-H184)+H165),IF(H166&lt;100001,B185+E185*(H166-H185)+H165,B186+E186*(H166-H186)+H165)),0),0)</f>
        <v>0</v>
      </c>
      <c r="I167" s="118"/>
      <c r="J167" s="118"/>
    </row>
    <row r="168" spans="1:12" ht="13" x14ac:dyDescent="0.25">
      <c r="A168" s="229" t="s">
        <v>565</v>
      </c>
      <c r="B168" s="314"/>
      <c r="C168" s="314"/>
      <c r="D168" s="314"/>
      <c r="E168" s="314"/>
      <c r="F168" s="315"/>
      <c r="G168" s="316"/>
      <c r="H168" s="215"/>
      <c r="I168" s="118"/>
      <c r="J168" s="118"/>
    </row>
    <row r="169" spans="1:12" ht="13.5" thickBot="1" x14ac:dyDescent="0.3">
      <c r="A169" s="540"/>
      <c r="B169"/>
      <c r="C169"/>
      <c r="D169"/>
      <c r="E169"/>
      <c r="F169" s="511"/>
      <c r="G169" s="511"/>
      <c r="H169" s="541"/>
    </row>
    <row r="170" spans="1:12" ht="13.5" thickBot="1" x14ac:dyDescent="0.35">
      <c r="A170" s="580" t="s">
        <v>554</v>
      </c>
      <c r="B170" s="581"/>
      <c r="C170" s="581"/>
      <c r="D170" s="581"/>
      <c r="E170" s="581"/>
      <c r="F170" s="581"/>
      <c r="G170" s="581"/>
      <c r="H170" s="582"/>
      <c r="I170" s="118"/>
      <c r="J170" s="118"/>
    </row>
    <row r="171" spans="1:12" ht="13.5" thickBot="1" x14ac:dyDescent="0.35">
      <c r="A171" s="577" t="s">
        <v>0</v>
      </c>
      <c r="B171" s="578"/>
      <c r="C171" s="578"/>
      <c r="D171" s="578"/>
      <c r="E171" s="578"/>
      <c r="F171" s="579"/>
      <c r="G171" s="520"/>
      <c r="H171" s="521" t="s">
        <v>1</v>
      </c>
      <c r="I171" s="118"/>
      <c r="J171" s="118"/>
    </row>
    <row r="172" spans="1:12" ht="13" thickBot="1" x14ac:dyDescent="0.3">
      <c r="A172" s="522"/>
      <c r="B172" s="520"/>
      <c r="C172" s="520"/>
      <c r="D172" s="520"/>
      <c r="E172" s="520"/>
      <c r="F172" s="523" t="s">
        <v>555</v>
      </c>
      <c r="G172" s="542"/>
      <c r="H172" s="548"/>
      <c r="I172" s="118"/>
      <c r="J172" s="118"/>
    </row>
    <row r="173" spans="1:12" ht="13" thickBot="1" x14ac:dyDescent="0.3">
      <c r="A173" s="524"/>
      <c r="B173" s="525"/>
      <c r="C173" s="525"/>
      <c r="D173" s="525"/>
      <c r="E173" s="525"/>
      <c r="F173" s="526" t="s">
        <v>556</v>
      </c>
      <c r="G173" s="527"/>
      <c r="H173" s="543"/>
      <c r="I173" s="118"/>
      <c r="J173" s="118"/>
      <c r="L173" s="118"/>
    </row>
    <row r="174" spans="1:12" x14ac:dyDescent="0.25">
      <c r="A174" s="528"/>
      <c r="B174" s="544"/>
      <c r="C174" s="544"/>
      <c r="D174" s="544"/>
      <c r="E174" s="544"/>
      <c r="F174" s="544"/>
      <c r="G174" s="544"/>
      <c r="H174" s="529"/>
      <c r="I174" s="118"/>
      <c r="J174" s="118"/>
    </row>
    <row r="175" spans="1:12" ht="14.5" x14ac:dyDescent="0.35">
      <c r="A175" s="528"/>
      <c r="B175" s="530"/>
      <c r="C175" s="530"/>
      <c r="D175" s="530"/>
      <c r="E175" s="545"/>
      <c r="F175" s="546" t="s">
        <v>557</v>
      </c>
      <c r="G175" s="542"/>
      <c r="H175" s="531">
        <f>423*H172</f>
        <v>0</v>
      </c>
      <c r="I175" s="118"/>
      <c r="J175" s="118"/>
    </row>
    <row r="176" spans="1:12" x14ac:dyDescent="0.25">
      <c r="A176" s="528"/>
      <c r="B176" s="532"/>
      <c r="C176" s="530"/>
      <c r="D176" s="530"/>
      <c r="E176" s="533"/>
      <c r="F176" s="545" t="s">
        <v>558</v>
      </c>
      <c r="G176" s="545"/>
      <c r="H176" s="531">
        <f>(0.15*H173)</f>
        <v>0</v>
      </c>
      <c r="I176" s="118"/>
      <c r="J176" s="118"/>
    </row>
    <row r="177" spans="1:10" x14ac:dyDescent="0.25">
      <c r="A177" s="528"/>
      <c r="B177" s="530"/>
      <c r="C177" s="530"/>
      <c r="D177" s="530"/>
      <c r="E177" s="533"/>
      <c r="F177" s="545" t="s">
        <v>559</v>
      </c>
      <c r="G177" s="545"/>
      <c r="H177" s="531">
        <f>H176+H173</f>
        <v>0</v>
      </c>
      <c r="I177" s="118"/>
      <c r="J177" s="118"/>
    </row>
    <row r="178" spans="1:10" ht="13" x14ac:dyDescent="0.3">
      <c r="A178" s="528"/>
      <c r="B178" s="530"/>
      <c r="C178" s="530"/>
      <c r="D178" s="530"/>
      <c r="E178" s="533"/>
      <c r="F178" s="547" t="s">
        <v>560</v>
      </c>
      <c r="G178" s="545"/>
      <c r="H178" s="534">
        <f>ROUNDUP(H177*0.06,-3)</f>
        <v>0</v>
      </c>
    </row>
    <row r="179" spans="1:10" ht="13" thickBot="1" x14ac:dyDescent="0.3">
      <c r="A179" s="535"/>
      <c r="B179" s="536"/>
      <c r="C179" s="536"/>
      <c r="D179" s="536"/>
      <c r="E179" s="537"/>
      <c r="F179" s="538"/>
      <c r="G179" s="538"/>
      <c r="H179" s="539" t="s">
        <v>561</v>
      </c>
      <c r="I179" s="118"/>
      <c r="J179" s="118"/>
    </row>
    <row r="180" spans="1:10" ht="13" thickBot="1" x14ac:dyDescent="0.3">
      <c r="A180" s="317"/>
      <c r="B180" s="318"/>
      <c r="C180" s="319"/>
      <c r="D180" s="319"/>
      <c r="E180" s="319"/>
      <c r="F180" s="134"/>
      <c r="G180" s="134"/>
      <c r="H180" s="320"/>
      <c r="I180" s="118"/>
      <c r="J180" s="118"/>
    </row>
    <row r="181" spans="1:10" ht="13" thickBot="1" x14ac:dyDescent="0.3">
      <c r="A181" s="321"/>
      <c r="B181" s="322" t="s">
        <v>248</v>
      </c>
      <c r="C181" s="323"/>
      <c r="D181" s="323"/>
      <c r="E181" s="323"/>
      <c r="F181" s="323"/>
      <c r="G181" s="323"/>
      <c r="H181" s="324"/>
      <c r="I181" s="118"/>
      <c r="J181" s="118"/>
    </row>
    <row r="182" spans="1:10" ht="15.5" x14ac:dyDescent="0.25">
      <c r="A182" s="325" t="s">
        <v>494</v>
      </c>
      <c r="B182" s="318"/>
      <c r="C182" s="326" t="s">
        <v>495</v>
      </c>
      <c r="D182" s="326"/>
      <c r="E182" s="327"/>
      <c r="F182" s="327"/>
      <c r="G182" s="327"/>
      <c r="H182" s="320"/>
      <c r="I182" s="118"/>
      <c r="J182" s="118"/>
    </row>
    <row r="183" spans="1:10" ht="15.5" x14ac:dyDescent="0.25">
      <c r="A183" s="325"/>
      <c r="B183" s="318"/>
      <c r="C183" s="327"/>
      <c r="D183" s="327"/>
      <c r="E183" s="327"/>
      <c r="F183" s="327"/>
      <c r="G183" s="327"/>
      <c r="H183" s="320"/>
      <c r="I183" s="118"/>
      <c r="J183" s="118"/>
    </row>
    <row r="184" spans="1:10" ht="15.5" x14ac:dyDescent="0.35">
      <c r="A184" s="328" t="s">
        <v>334</v>
      </c>
      <c r="B184" s="518">
        <v>2130</v>
      </c>
      <c r="C184" s="199" t="s">
        <v>244</v>
      </c>
      <c r="D184" s="199"/>
      <c r="E184" s="230">
        <v>0.34470000000000001</v>
      </c>
      <c r="F184" s="329" t="s">
        <v>207</v>
      </c>
      <c r="G184" s="329"/>
      <c r="H184" s="330">
        <v>5000</v>
      </c>
      <c r="I184" s="118"/>
      <c r="J184" s="118"/>
    </row>
    <row r="185" spans="1:10" ht="15.5" x14ac:dyDescent="0.35">
      <c r="A185" s="328" t="s">
        <v>335</v>
      </c>
      <c r="B185" s="518">
        <v>3854</v>
      </c>
      <c r="C185" s="199" t="s">
        <v>244</v>
      </c>
      <c r="D185" s="199"/>
      <c r="E185" s="231">
        <v>0.153</v>
      </c>
      <c r="F185" s="329" t="s">
        <v>207</v>
      </c>
      <c r="G185" s="329"/>
      <c r="H185" s="330">
        <v>10000</v>
      </c>
      <c r="I185" s="118"/>
      <c r="J185" s="118"/>
    </row>
    <row r="186" spans="1:10" ht="16" thickBot="1" x14ac:dyDescent="0.3">
      <c r="A186" s="331" t="s">
        <v>252</v>
      </c>
      <c r="B186" s="519">
        <v>17624</v>
      </c>
      <c r="C186" s="201" t="s">
        <v>244</v>
      </c>
      <c r="D186" s="201"/>
      <c r="E186" s="232">
        <v>3.7199999999999997E-2</v>
      </c>
      <c r="F186" s="332" t="s">
        <v>207</v>
      </c>
      <c r="G186" s="332"/>
      <c r="H186" s="333">
        <v>100000</v>
      </c>
      <c r="I186" s="118"/>
      <c r="J186" s="118"/>
    </row>
    <row r="187" spans="1:10" ht="15.5" x14ac:dyDescent="0.25">
      <c r="A187" s="554" t="s">
        <v>566</v>
      </c>
      <c r="B187" s="555"/>
      <c r="C187" s="556"/>
      <c r="D187" s="556"/>
      <c r="E187" s="557"/>
      <c r="F187" s="558"/>
      <c r="G187" s="558"/>
      <c r="H187" s="559"/>
      <c r="I187" s="118"/>
      <c r="J187" s="118"/>
    </row>
    <row r="188" spans="1:10" ht="13" x14ac:dyDescent="0.3">
      <c r="A188" s="560" t="s">
        <v>563</v>
      </c>
      <c r="B188" s="561"/>
      <c r="C188" s="549"/>
      <c r="D188" s="549"/>
      <c r="E188" s="549"/>
      <c r="F188" s="562"/>
      <c r="G188" s="562"/>
      <c r="H188" s="541"/>
      <c r="I188" s="118"/>
      <c r="J188" s="118"/>
    </row>
    <row r="189" spans="1:10" x14ac:dyDescent="0.25">
      <c r="A189" s="550"/>
      <c r="B189" s="542"/>
      <c r="C189" s="542"/>
      <c r="D189" s="542"/>
      <c r="E189" s="542"/>
      <c r="F189" s="542"/>
      <c r="G189" s="542"/>
      <c r="H189" s="551"/>
    </row>
    <row r="190" spans="1:10" ht="13" customHeight="1" thickBot="1" x14ac:dyDescent="0.3">
      <c r="A190" s="583" t="s">
        <v>423</v>
      </c>
      <c r="B190" s="584"/>
      <c r="C190" s="584"/>
      <c r="D190" s="584"/>
      <c r="E190" s="584"/>
      <c r="F190" s="584"/>
      <c r="G190" s="552"/>
      <c r="H190" s="553"/>
    </row>
    <row r="191" spans="1:10" x14ac:dyDescent="0.25">
      <c r="A191" s="101"/>
      <c r="B191" s="152"/>
      <c r="C191" s="183"/>
      <c r="D191" s="183"/>
      <c r="E191" s="183"/>
      <c r="F191" s="114"/>
      <c r="G191" s="114"/>
      <c r="H191" s="114"/>
    </row>
    <row r="192" spans="1:10" ht="13" thickBot="1" x14ac:dyDescent="0.3">
      <c r="A192" s="114"/>
      <c r="B192" s="152"/>
      <c r="C192" s="183"/>
      <c r="D192" s="183"/>
      <c r="E192" s="183"/>
      <c r="F192" s="114"/>
      <c r="G192" s="114"/>
      <c r="H192" s="114"/>
    </row>
    <row r="193" spans="1:8" ht="13" thickBot="1" x14ac:dyDescent="0.3">
      <c r="A193" s="321"/>
      <c r="B193" s="322" t="s">
        <v>426</v>
      </c>
      <c r="C193" s="323"/>
      <c r="D193" s="323"/>
      <c r="E193" s="323"/>
      <c r="F193" s="323"/>
      <c r="G193" s="323"/>
      <c r="H193" s="324"/>
    </row>
    <row r="194" spans="1:8" ht="15.5" x14ac:dyDescent="0.25">
      <c r="A194" s="325" t="s">
        <v>428</v>
      </c>
      <c r="B194" s="318"/>
      <c r="C194" s="326" t="s">
        <v>429</v>
      </c>
      <c r="D194" s="326"/>
      <c r="E194" s="327"/>
      <c r="F194" s="327"/>
      <c r="G194" s="327"/>
      <c r="H194" s="320"/>
    </row>
    <row r="195" spans="1:8" ht="15.5" x14ac:dyDescent="0.25">
      <c r="A195" s="325"/>
      <c r="B195" s="318"/>
      <c r="C195" s="327"/>
      <c r="D195" s="327"/>
      <c r="E195" s="327"/>
      <c r="F195" s="327"/>
      <c r="G195" s="327"/>
      <c r="H195" s="320"/>
    </row>
    <row r="196" spans="1:8" ht="15.5" x14ac:dyDescent="0.25">
      <c r="A196" s="328" t="s">
        <v>329</v>
      </c>
      <c r="B196" s="518">
        <v>469</v>
      </c>
      <c r="C196" s="198"/>
      <c r="D196" s="198"/>
      <c r="E196" s="198"/>
      <c r="F196" s="327"/>
      <c r="G196" s="327"/>
      <c r="H196" s="320"/>
    </row>
    <row r="197" spans="1:8" ht="15.5" x14ac:dyDescent="0.25">
      <c r="A197" s="328" t="s">
        <v>330</v>
      </c>
      <c r="B197" s="518">
        <v>469</v>
      </c>
      <c r="C197" s="199" t="s">
        <v>244</v>
      </c>
      <c r="D197" s="199"/>
      <c r="E197" s="231">
        <v>0.28199999999999997</v>
      </c>
      <c r="F197" s="334" t="s">
        <v>207</v>
      </c>
      <c r="G197" s="334"/>
      <c r="H197" s="335">
        <v>1625</v>
      </c>
    </row>
    <row r="198" spans="1:8" ht="15.5" x14ac:dyDescent="0.35">
      <c r="A198" s="328" t="s">
        <v>331</v>
      </c>
      <c r="B198" s="518">
        <v>5651</v>
      </c>
      <c r="C198" s="199" t="s">
        <v>244</v>
      </c>
      <c r="D198" s="199"/>
      <c r="E198" s="231">
        <v>0.15890000000000001</v>
      </c>
      <c r="F198" s="334" t="s">
        <v>207</v>
      </c>
      <c r="G198" s="334"/>
      <c r="H198" s="330">
        <v>20000</v>
      </c>
    </row>
    <row r="199" spans="1:8" ht="15.5" x14ac:dyDescent="0.35">
      <c r="A199" s="328" t="s">
        <v>332</v>
      </c>
      <c r="B199" s="518">
        <v>18363</v>
      </c>
      <c r="C199" s="199" t="s">
        <v>244</v>
      </c>
      <c r="D199" s="199"/>
      <c r="E199" s="231">
        <v>8.3900000000000002E-2</v>
      </c>
      <c r="F199" s="334" t="s">
        <v>207</v>
      </c>
      <c r="G199" s="334"/>
      <c r="H199" s="330">
        <v>100000</v>
      </c>
    </row>
    <row r="200" spans="1:8" ht="16" thickBot="1" x14ac:dyDescent="0.3">
      <c r="A200" s="331" t="s">
        <v>333</v>
      </c>
      <c r="B200" s="519">
        <v>51923</v>
      </c>
      <c r="C200" s="201" t="s">
        <v>244</v>
      </c>
      <c r="D200" s="201"/>
      <c r="E200" s="232">
        <v>4.41E-2</v>
      </c>
      <c r="F200" s="332" t="s">
        <v>207</v>
      </c>
      <c r="G200" s="332"/>
      <c r="H200" s="333">
        <v>500000</v>
      </c>
    </row>
    <row r="201" spans="1:8" ht="15.5" x14ac:dyDescent="0.3">
      <c r="A201" s="189" t="s">
        <v>245</v>
      </c>
      <c r="B201" s="337"/>
      <c r="C201" s="191"/>
      <c r="D201" s="191"/>
      <c r="E201" s="191"/>
      <c r="F201" s="101"/>
      <c r="G201" s="101"/>
      <c r="H201" s="101"/>
    </row>
    <row r="202" spans="1:8" ht="15.5" x14ac:dyDescent="0.3">
      <c r="A202" s="193" t="s">
        <v>427</v>
      </c>
      <c r="B202" s="337"/>
      <c r="C202" s="191"/>
      <c r="D202" s="191"/>
      <c r="E202" s="191"/>
      <c r="F202" s="101"/>
      <c r="G202" s="101"/>
      <c r="H202" s="101"/>
    </row>
    <row r="203" spans="1:8" x14ac:dyDescent="0.25">
      <c r="A203" s="101"/>
      <c r="B203" s="190"/>
      <c r="C203" s="191"/>
      <c r="D203" s="191"/>
      <c r="E203" s="191"/>
      <c r="F203" s="101"/>
      <c r="G203" s="101"/>
      <c r="H203" s="101"/>
    </row>
    <row r="204" spans="1:8" x14ac:dyDescent="0.25">
      <c r="A204" s="101"/>
      <c r="B204" s="190"/>
      <c r="C204" s="191"/>
      <c r="D204" s="191"/>
      <c r="E204" s="191"/>
      <c r="F204" s="101"/>
      <c r="G204" s="101"/>
      <c r="H204" s="101"/>
    </row>
    <row r="205" spans="1:8" x14ac:dyDescent="0.25">
      <c r="B205" s="122"/>
      <c r="C205" s="120"/>
      <c r="D205" s="120"/>
      <c r="E205" s="120"/>
      <c r="F205" s="118"/>
      <c r="G205" s="118"/>
      <c r="H205" s="118"/>
    </row>
    <row r="206" spans="1:8" x14ac:dyDescent="0.25">
      <c r="A206" s="338"/>
      <c r="B206" s="122"/>
      <c r="C206" s="120"/>
      <c r="D206" s="120"/>
      <c r="E206" s="120"/>
      <c r="F206" s="118"/>
      <c r="G206" s="118"/>
      <c r="H206" s="118"/>
    </row>
    <row r="207" spans="1:8" x14ac:dyDescent="0.25">
      <c r="A207" s="338"/>
      <c r="B207" s="122"/>
      <c r="C207" s="120"/>
      <c r="D207" s="120"/>
      <c r="E207" s="120"/>
      <c r="F207" s="118"/>
      <c r="G207" s="118"/>
      <c r="H207" s="118"/>
    </row>
    <row r="208" spans="1:8" x14ac:dyDescent="0.25">
      <c r="A208" s="118"/>
      <c r="B208" s="122"/>
      <c r="C208" s="120"/>
      <c r="D208" s="120"/>
      <c r="E208" s="120"/>
      <c r="F208" s="118"/>
      <c r="G208" s="118"/>
      <c r="H208" s="118"/>
    </row>
  </sheetData>
  <sheetProtection algorithmName="SHA-512" hashValue="3smLhKzStGJPSqzifYc3th9jQaxx62pjym6OEtF6IGoah5q5hKlwL3rvov1vraIkDOVuDJ99x5+g3ckyxgElHQ==" saltValue="k5YnuePS8SbT5ANSYYbyWg==" spinCount="100000" sheet="1" insertRows="0" selectLockedCells="1"/>
  <customSheetViews>
    <customSheetView guid="{0CFDFAE3-BA5A-49B1-8AEF-ACE06B5A41A2}" hiddenRows="1">
      <selection activeCell="B17" sqref="B17:B23"/>
      <rowBreaks count="2" manualBreakCount="2">
        <brk id="60" max="16383" man="1"/>
        <brk id="200" max="16383" man="1"/>
      </rowBreaks>
      <pageMargins left="0" right="0" top="0.51" bottom="0.4" header="0.23" footer="0.17"/>
      <printOptions horizontalCentered="1"/>
      <pageSetup scale="92" orientation="portrait" r:id="rId1"/>
      <headerFooter alignWithMargins="0">
        <oddFooter>&amp;LFees Effective 07/01/2012&amp;RPage &amp;P of &amp;N</oddFooter>
      </headerFooter>
    </customSheetView>
  </customSheetViews>
  <mergeCells count="23">
    <mergeCell ref="A171:F171"/>
    <mergeCell ref="A170:H170"/>
    <mergeCell ref="A190:F190"/>
    <mergeCell ref="C119:F119"/>
    <mergeCell ref="C125:F125"/>
    <mergeCell ref="C131:F131"/>
    <mergeCell ref="C138:F138"/>
    <mergeCell ref="C152:F152"/>
    <mergeCell ref="C153:E153"/>
    <mergeCell ref="A164:H164"/>
    <mergeCell ref="C122:F122"/>
    <mergeCell ref="C123:E123"/>
    <mergeCell ref="C128:F128"/>
    <mergeCell ref="C129:E129"/>
    <mergeCell ref="C134:F134"/>
    <mergeCell ref="A142:H142"/>
    <mergeCell ref="A151:H151"/>
    <mergeCell ref="C13:F13"/>
    <mergeCell ref="C14:E14"/>
    <mergeCell ref="A12:H12"/>
    <mergeCell ref="A133:H133"/>
    <mergeCell ref="A121:H121"/>
    <mergeCell ref="A127:H127"/>
  </mergeCells>
  <phoneticPr fontId="0" type="noConversion"/>
  <dataValidations disablePrompts="1" count="2">
    <dataValidation type="list" allowBlank="1" showInputMessage="1" showErrorMessage="1" sqref="B141 B143 F165:G165" xr:uid="{00000000-0002-0000-0100-000000000000}">
      <formula1>"Yes,No"</formula1>
    </dataValidation>
    <dataValidation type="list" allowBlank="1" showInputMessage="1" showErrorMessage="1" sqref="B144" xr:uid="{00000000-0002-0000-0100-000001000000}">
      <formula1>"Y,N"</formula1>
    </dataValidation>
  </dataValidations>
  <printOptions horizontalCentered="1"/>
  <pageMargins left="0" right="0" top="0.51" bottom="0.4" header="0.23" footer="0.17"/>
  <pageSetup scale="92" orientation="portrait" r:id="rId2"/>
  <headerFooter alignWithMargins="0">
    <oddFooter>&amp;LFees Effective 07/01/2023&amp;RPage &amp;P of &amp;N</oddFooter>
  </headerFooter>
  <rowBreaks count="2" manualBreakCount="2">
    <brk id="62" max="16383" man="1"/>
    <brk id="141" max="16383"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89"/>
  <sheetViews>
    <sheetView topLeftCell="A15" zoomScaleNormal="100" zoomScaleSheetLayoutView="100" workbookViewId="0">
      <selection activeCell="B59" sqref="B59"/>
    </sheetView>
  </sheetViews>
  <sheetFormatPr defaultColWidth="9.08984375" defaultRowHeight="12.5" x14ac:dyDescent="0.25"/>
  <cols>
    <col min="1" max="1" width="47.6328125" style="121" customWidth="1"/>
    <col min="2" max="2" width="11.453125" style="205" customWidth="1"/>
    <col min="3" max="3" width="12.08984375" style="206" customWidth="1"/>
    <col min="4" max="4" width="12.08984375" style="206" hidden="1" customWidth="1"/>
    <col min="5" max="5" width="8.36328125" style="206" customWidth="1"/>
    <col min="6" max="6" width="15.08984375" style="121" customWidth="1"/>
    <col min="7" max="7" width="15.08984375" style="121" hidden="1" customWidth="1"/>
    <col min="8" max="8" width="14.08984375" style="121" customWidth="1"/>
    <col min="9" max="9" width="11.36328125" style="121" bestFit="1" customWidth="1"/>
    <col min="10" max="10" width="11.6328125" style="121" customWidth="1"/>
    <col min="11" max="13" width="11.36328125" style="121" bestFit="1" customWidth="1"/>
    <col min="14" max="16384" width="9.08984375" style="121"/>
  </cols>
  <sheetData>
    <row r="1" spans="1:14" ht="13" x14ac:dyDescent="0.3">
      <c r="A1" s="118"/>
      <c r="B1" s="119"/>
      <c r="C1" s="120"/>
      <c r="D1" s="120"/>
      <c r="E1" s="120"/>
      <c r="F1" s="118"/>
      <c r="G1" s="118"/>
      <c r="H1" s="118"/>
      <c r="I1" s="118"/>
      <c r="J1" s="118"/>
    </row>
    <row r="2" spans="1:14" ht="13" x14ac:dyDescent="0.3">
      <c r="A2" s="118"/>
      <c r="B2" s="119"/>
      <c r="C2" s="120"/>
      <c r="D2" s="120"/>
      <c r="E2" s="120"/>
      <c r="F2" s="118"/>
      <c r="G2" s="118"/>
      <c r="H2" s="118"/>
      <c r="I2" s="118"/>
      <c r="J2" s="118"/>
    </row>
    <row r="3" spans="1:14" x14ac:dyDescent="0.25">
      <c r="A3" s="118"/>
      <c r="B3" s="122"/>
      <c r="C3" s="120"/>
      <c r="D3" s="120"/>
      <c r="E3" s="120"/>
      <c r="F3" s="118"/>
      <c r="G3" s="118"/>
      <c r="H3" s="118"/>
      <c r="I3" s="118"/>
      <c r="J3" s="118"/>
    </row>
    <row r="4" spans="1:14" x14ac:dyDescent="0.25">
      <c r="A4" s="118"/>
      <c r="B4" s="122"/>
      <c r="C4" s="120"/>
      <c r="D4" s="120"/>
      <c r="E4" s="120"/>
      <c r="F4" s="118"/>
      <c r="G4" s="118"/>
      <c r="H4" s="118"/>
      <c r="I4" s="118"/>
      <c r="J4" s="118"/>
    </row>
    <row r="5" spans="1:14" x14ac:dyDescent="0.25">
      <c r="A5" s="118"/>
      <c r="B5" s="122"/>
      <c r="C5" s="120"/>
      <c r="D5" s="120"/>
      <c r="E5" s="120"/>
      <c r="F5" s="118"/>
      <c r="G5" s="118"/>
      <c r="H5" s="118"/>
      <c r="I5" s="118"/>
      <c r="J5" s="118"/>
    </row>
    <row r="6" spans="1:14" x14ac:dyDescent="0.25">
      <c r="A6" s="118"/>
      <c r="B6" s="122"/>
      <c r="C6" s="120"/>
      <c r="D6" s="120"/>
      <c r="E6" s="120"/>
      <c r="F6" s="118"/>
      <c r="G6" s="118"/>
      <c r="H6" s="118"/>
      <c r="I6" s="118"/>
      <c r="J6" s="118"/>
    </row>
    <row r="7" spans="1:14" x14ac:dyDescent="0.25">
      <c r="A7" s="118"/>
      <c r="B7" s="122"/>
      <c r="C7" s="120"/>
      <c r="D7" s="120"/>
      <c r="E7" s="120"/>
      <c r="F7" s="118"/>
      <c r="G7" s="118"/>
      <c r="H7" s="118"/>
      <c r="I7" s="118"/>
      <c r="J7" s="118"/>
    </row>
    <row r="8" spans="1:14" x14ac:dyDescent="0.25">
      <c r="A8" s="118"/>
      <c r="B8" s="122"/>
      <c r="C8" s="120"/>
      <c r="D8" s="120"/>
      <c r="E8" s="120"/>
      <c r="F8" s="118"/>
      <c r="G8" s="118"/>
      <c r="H8" s="118"/>
      <c r="I8" s="118"/>
      <c r="J8" s="118"/>
    </row>
    <row r="9" spans="1:14" x14ac:dyDescent="0.25">
      <c r="A9" s="118"/>
      <c r="B9" s="122"/>
      <c r="C9" s="120"/>
      <c r="D9" s="120"/>
      <c r="E9" s="120"/>
      <c r="F9" s="118"/>
      <c r="G9" s="118"/>
      <c r="H9" s="118"/>
      <c r="I9" s="118"/>
      <c r="J9" s="118"/>
    </row>
    <row r="10" spans="1:14" x14ac:dyDescent="0.25">
      <c r="A10" s="118"/>
      <c r="B10" s="122"/>
      <c r="C10" s="120"/>
      <c r="D10" s="120"/>
      <c r="E10" s="120"/>
      <c r="F10" s="118"/>
      <c r="G10" s="118"/>
      <c r="H10" s="118"/>
      <c r="I10" s="118"/>
      <c r="J10" s="118"/>
    </row>
    <row r="11" spans="1:14" x14ac:dyDescent="0.25">
      <c r="A11" s="118"/>
      <c r="B11" s="122"/>
      <c r="C11" s="120"/>
      <c r="D11" s="120"/>
      <c r="E11" s="120"/>
      <c r="F11" s="118"/>
      <c r="G11" s="118"/>
      <c r="H11" s="118"/>
      <c r="I11" s="118"/>
      <c r="J11" s="118"/>
    </row>
    <row r="12" spans="1:14" ht="13" thickBot="1" x14ac:dyDescent="0.3">
      <c r="A12" s="118"/>
      <c r="B12" s="122"/>
      <c r="C12" s="120"/>
      <c r="D12" s="120"/>
      <c r="E12" s="120"/>
      <c r="F12" s="118"/>
      <c r="G12" s="118"/>
      <c r="H12" s="118"/>
      <c r="I12" s="118"/>
      <c r="J12" s="118"/>
    </row>
    <row r="13" spans="1:14" ht="13.5" thickBot="1" x14ac:dyDescent="0.35">
      <c r="A13" s="564" t="s">
        <v>400</v>
      </c>
      <c r="B13" s="565"/>
      <c r="C13" s="565"/>
      <c r="D13" s="565"/>
      <c r="E13" s="565"/>
      <c r="F13" s="565"/>
      <c r="G13" s="565"/>
      <c r="H13" s="566"/>
      <c r="I13" s="238"/>
      <c r="J13" s="238"/>
      <c r="K13" s="164"/>
      <c r="L13" s="158"/>
      <c r="M13" s="239"/>
      <c r="N13" s="239"/>
    </row>
    <row r="14" spans="1:14" ht="13.5" thickBot="1" x14ac:dyDescent="0.35">
      <c r="A14" s="233" t="s">
        <v>0</v>
      </c>
      <c r="B14" s="234" t="s">
        <v>1</v>
      </c>
      <c r="C14" s="567" t="s">
        <v>2</v>
      </c>
      <c r="D14" s="568"/>
      <c r="E14" s="568"/>
      <c r="F14" s="569"/>
      <c r="G14" s="235"/>
      <c r="H14" s="233" t="s">
        <v>3</v>
      </c>
      <c r="I14" s="238"/>
      <c r="J14" s="238"/>
      <c r="K14" s="164"/>
      <c r="L14" s="158"/>
      <c r="M14" s="239"/>
      <c r="N14" s="239"/>
    </row>
    <row r="15" spans="1:14" x14ac:dyDescent="0.25">
      <c r="A15" s="125"/>
      <c r="B15" s="126"/>
      <c r="C15" s="570" t="s">
        <v>63</v>
      </c>
      <c r="D15" s="571"/>
      <c r="E15" s="572"/>
      <c r="F15" s="96" t="s">
        <v>62</v>
      </c>
      <c r="G15" s="173"/>
      <c r="H15" s="127"/>
      <c r="I15" s="238"/>
      <c r="J15" s="238"/>
      <c r="K15" s="164"/>
      <c r="L15" s="158"/>
      <c r="M15" s="239"/>
      <c r="N15" s="239"/>
    </row>
    <row r="16" spans="1:14" ht="13" x14ac:dyDescent="0.3">
      <c r="A16" s="236" t="s">
        <v>387</v>
      </c>
      <c r="B16" s="135"/>
      <c r="C16" s="73"/>
      <c r="D16" s="73"/>
      <c r="E16" s="277"/>
      <c r="F16" s="278"/>
      <c r="G16" s="279"/>
      <c r="H16" s="97"/>
      <c r="I16" s="238"/>
      <c r="J16" s="238"/>
      <c r="K16" s="164"/>
      <c r="L16" s="158"/>
      <c r="M16" s="239"/>
      <c r="N16" s="239"/>
    </row>
    <row r="17" spans="1:14" x14ac:dyDescent="0.25">
      <c r="A17" s="339" t="s">
        <v>397</v>
      </c>
      <c r="B17" s="4"/>
      <c r="C17" s="68">
        <f>ROUND(CPI*D17,2)</f>
        <v>406.09</v>
      </c>
      <c r="D17" s="340">
        <v>303.89999999999998</v>
      </c>
      <c r="E17" s="341" t="s">
        <v>57</v>
      </c>
      <c r="F17" s="68">
        <f>ROUND(CPI*G17,2)</f>
        <v>406.09</v>
      </c>
      <c r="G17" s="342">
        <v>303.89999999999998</v>
      </c>
      <c r="H17" s="97">
        <f>IF($B$83="Yes",B17*F17,B17*C17)</f>
        <v>0</v>
      </c>
      <c r="I17" s="238"/>
      <c r="J17" s="238"/>
      <c r="K17" s="164"/>
      <c r="L17" s="158"/>
      <c r="M17" s="239"/>
      <c r="N17" s="239"/>
    </row>
    <row r="18" spans="1:14" x14ac:dyDescent="0.25">
      <c r="A18" s="339" t="s">
        <v>398</v>
      </c>
      <c r="B18" s="4"/>
      <c r="C18" s="68">
        <f>ROUND(CPI*D18,2)</f>
        <v>575.29</v>
      </c>
      <c r="D18" s="340">
        <v>430.53</v>
      </c>
      <c r="E18" s="341" t="s">
        <v>57</v>
      </c>
      <c r="F18" s="68">
        <f>ROUND(CPI*G18,2)</f>
        <v>575.29</v>
      </c>
      <c r="G18" s="342">
        <v>430.53</v>
      </c>
      <c r="H18" s="97">
        <f>IF($B$83="Yes",B18*F18,B18*C18)</f>
        <v>0</v>
      </c>
      <c r="I18" s="238"/>
      <c r="J18" s="238"/>
      <c r="K18" s="164"/>
      <c r="L18" s="158"/>
      <c r="M18" s="239"/>
      <c r="N18" s="239"/>
    </row>
    <row r="19" spans="1:14" x14ac:dyDescent="0.25">
      <c r="A19" s="128" t="s">
        <v>399</v>
      </c>
      <c r="B19" s="4"/>
      <c r="C19" s="68">
        <f>ROUND(CPI*D19,2)</f>
        <v>338.4</v>
      </c>
      <c r="D19" s="340">
        <v>253.25</v>
      </c>
      <c r="E19" s="341" t="s">
        <v>57</v>
      </c>
      <c r="F19" s="68">
        <f>ROUND(CPI*G19,2)</f>
        <v>338.4</v>
      </c>
      <c r="G19" s="342">
        <v>253.25</v>
      </c>
      <c r="H19" s="97">
        <f>IF($B$83="Yes",B19*F19,B19*C19)</f>
        <v>0</v>
      </c>
      <c r="I19" s="238"/>
      <c r="J19" s="238"/>
      <c r="K19" s="164"/>
      <c r="L19" s="158"/>
      <c r="M19" s="239"/>
      <c r="N19" s="239"/>
    </row>
    <row r="20" spans="1:14" x14ac:dyDescent="0.25">
      <c r="A20" s="128" t="s">
        <v>385</v>
      </c>
      <c r="B20" s="4"/>
      <c r="C20" s="68">
        <f>ROUND(CPI*D20,2)</f>
        <v>243.65</v>
      </c>
      <c r="D20" s="343">
        <v>182.34</v>
      </c>
      <c r="E20" s="341" t="s">
        <v>57</v>
      </c>
      <c r="F20" s="68">
        <f>ROUND(CPI*G20,2)</f>
        <v>243.65</v>
      </c>
      <c r="G20" s="342">
        <v>182.34</v>
      </c>
      <c r="H20" s="97">
        <f>IF($B$83="Yes",B20*F20,B20*C20)</f>
        <v>0</v>
      </c>
      <c r="I20" s="238"/>
      <c r="J20" s="238"/>
      <c r="K20" s="164"/>
      <c r="L20" s="158"/>
      <c r="M20" s="239"/>
      <c r="N20" s="239"/>
    </row>
    <row r="21" spans="1:14" x14ac:dyDescent="0.25">
      <c r="A21" s="128" t="s">
        <v>386</v>
      </c>
      <c r="B21" s="4"/>
      <c r="C21" s="68">
        <f>ROUND(CPI*D21,2)</f>
        <v>304.57</v>
      </c>
      <c r="D21" s="343">
        <v>227.93</v>
      </c>
      <c r="E21" s="341" t="s">
        <v>57</v>
      </c>
      <c r="F21" s="68">
        <f>ROUND(CPI*G21,2)</f>
        <v>304.57</v>
      </c>
      <c r="G21" s="342">
        <v>227.93</v>
      </c>
      <c r="H21" s="97">
        <f>IF($B$83="Yes",B21*F21,B21*C21)</f>
        <v>0</v>
      </c>
      <c r="I21" s="238"/>
      <c r="J21" s="238"/>
      <c r="K21" s="164"/>
      <c r="L21" s="158"/>
      <c r="M21" s="239"/>
      <c r="N21" s="239"/>
    </row>
    <row r="22" spans="1:14" x14ac:dyDescent="0.25">
      <c r="A22" s="280"/>
      <c r="B22" s="268"/>
      <c r="C22" s="281"/>
      <c r="D22" s="281"/>
      <c r="E22" s="165"/>
      <c r="F22" s="158"/>
      <c r="G22" s="158"/>
      <c r="H22" s="282"/>
      <c r="I22" s="238"/>
      <c r="J22" s="238"/>
      <c r="K22" s="164"/>
      <c r="L22" s="158"/>
      <c r="M22" s="239"/>
      <c r="N22" s="239"/>
    </row>
    <row r="23" spans="1:14" ht="13" x14ac:dyDescent="0.3">
      <c r="A23" s="236" t="s">
        <v>341</v>
      </c>
      <c r="B23" s="268"/>
      <c r="C23" s="164"/>
      <c r="D23" s="164"/>
      <c r="E23" s="165"/>
      <c r="F23" s="158"/>
      <c r="G23" s="158"/>
      <c r="H23" s="282"/>
      <c r="I23" s="238"/>
      <c r="J23" s="238"/>
      <c r="K23" s="164"/>
      <c r="L23" s="158"/>
      <c r="M23" s="239"/>
      <c r="N23" s="239"/>
    </row>
    <row r="24" spans="1:14" x14ac:dyDescent="0.25">
      <c r="A24" s="128" t="s">
        <v>340</v>
      </c>
      <c r="B24" s="4"/>
      <c r="C24" s="68">
        <f t="shared" ref="C24:C44" si="0">ROUND(CPI*D24,2)</f>
        <v>2.71</v>
      </c>
      <c r="D24" s="340">
        <v>2.0299999999999998</v>
      </c>
      <c r="E24" s="277" t="s">
        <v>388</v>
      </c>
      <c r="F24" s="68">
        <f t="shared" ref="F24:F44" si="1">ROUND(CPI*G24,2)</f>
        <v>2.71</v>
      </c>
      <c r="G24" s="342">
        <v>2.0299999999999998</v>
      </c>
      <c r="H24" s="97">
        <f t="shared" ref="H24:H44" si="2">IF($B$83="Yes",B24*F24,B24*C24)</f>
        <v>0</v>
      </c>
      <c r="I24" s="238"/>
      <c r="J24" s="238"/>
      <c r="K24" s="164"/>
      <c r="L24" s="158"/>
      <c r="M24" s="239"/>
      <c r="N24" s="239"/>
    </row>
    <row r="25" spans="1:14" x14ac:dyDescent="0.25">
      <c r="A25" s="339" t="s">
        <v>342</v>
      </c>
      <c r="B25" s="4"/>
      <c r="C25" s="68">
        <f t="shared" si="0"/>
        <v>2.71</v>
      </c>
      <c r="D25" s="340">
        <v>2.0299999999999998</v>
      </c>
      <c r="E25" s="341" t="s">
        <v>388</v>
      </c>
      <c r="F25" s="68">
        <f t="shared" si="1"/>
        <v>2.71</v>
      </c>
      <c r="G25" s="342">
        <v>2.0299999999999998</v>
      </c>
      <c r="H25" s="97">
        <f t="shared" si="2"/>
        <v>0</v>
      </c>
      <c r="I25" s="238"/>
      <c r="J25" s="238"/>
      <c r="K25" s="164"/>
      <c r="L25" s="158"/>
      <c r="M25" s="239"/>
      <c r="N25" s="239"/>
    </row>
    <row r="26" spans="1:14" x14ac:dyDescent="0.25">
      <c r="A26" s="128" t="s">
        <v>343</v>
      </c>
      <c r="B26" s="4"/>
      <c r="C26" s="68">
        <f t="shared" si="0"/>
        <v>2.71</v>
      </c>
      <c r="D26" s="340">
        <v>2.0299999999999998</v>
      </c>
      <c r="E26" s="341" t="s">
        <v>388</v>
      </c>
      <c r="F26" s="68">
        <f t="shared" si="1"/>
        <v>2.71</v>
      </c>
      <c r="G26" s="342">
        <v>2.0299999999999998</v>
      </c>
      <c r="H26" s="97">
        <f t="shared" si="2"/>
        <v>0</v>
      </c>
      <c r="I26" s="238"/>
      <c r="J26" s="238"/>
      <c r="K26" s="164"/>
      <c r="L26" s="158"/>
      <c r="M26" s="239"/>
      <c r="N26" s="239"/>
    </row>
    <row r="27" spans="1:14" x14ac:dyDescent="0.25">
      <c r="A27" s="128" t="s">
        <v>344</v>
      </c>
      <c r="B27" s="4"/>
      <c r="C27" s="68">
        <f t="shared" si="0"/>
        <v>2.71</v>
      </c>
      <c r="D27" s="340">
        <v>2.0299999999999998</v>
      </c>
      <c r="E27" s="341" t="s">
        <v>388</v>
      </c>
      <c r="F27" s="68">
        <f t="shared" si="1"/>
        <v>2.71</v>
      </c>
      <c r="G27" s="342">
        <v>2.0299999999999998</v>
      </c>
      <c r="H27" s="97">
        <f t="shared" si="2"/>
        <v>0</v>
      </c>
      <c r="I27" s="238"/>
      <c r="J27" s="238"/>
      <c r="K27" s="164"/>
      <c r="L27" s="158"/>
      <c r="M27" s="239"/>
      <c r="N27" s="239"/>
    </row>
    <row r="28" spans="1:14" x14ac:dyDescent="0.25">
      <c r="A28" s="344" t="s">
        <v>345</v>
      </c>
      <c r="B28" s="4"/>
      <c r="C28" s="68">
        <f t="shared" si="0"/>
        <v>3.38</v>
      </c>
      <c r="D28" s="340">
        <v>2.5299999999999998</v>
      </c>
      <c r="E28" s="277" t="s">
        <v>388</v>
      </c>
      <c r="F28" s="68">
        <f t="shared" si="1"/>
        <v>3.38</v>
      </c>
      <c r="G28" s="342">
        <v>2.5299999999999998</v>
      </c>
      <c r="H28" s="97">
        <f t="shared" si="2"/>
        <v>0</v>
      </c>
      <c r="I28" s="238"/>
      <c r="J28" s="238"/>
      <c r="K28" s="164"/>
      <c r="L28" s="158"/>
      <c r="M28" s="239"/>
      <c r="N28" s="239"/>
    </row>
    <row r="29" spans="1:14" x14ac:dyDescent="0.25">
      <c r="A29" s="344" t="s">
        <v>346</v>
      </c>
      <c r="B29" s="4"/>
      <c r="C29" s="68">
        <f t="shared" si="0"/>
        <v>3.38</v>
      </c>
      <c r="D29" s="340">
        <v>2.5299999999999998</v>
      </c>
      <c r="E29" s="277" t="s">
        <v>388</v>
      </c>
      <c r="F29" s="68">
        <f t="shared" si="1"/>
        <v>3.38</v>
      </c>
      <c r="G29" s="342">
        <v>2.5299999999999998</v>
      </c>
      <c r="H29" s="97">
        <f t="shared" si="2"/>
        <v>0</v>
      </c>
      <c r="I29" s="238"/>
      <c r="J29" s="238"/>
      <c r="K29" s="164"/>
      <c r="L29" s="158"/>
      <c r="M29" s="239"/>
      <c r="N29" s="239"/>
    </row>
    <row r="30" spans="1:14" x14ac:dyDescent="0.25">
      <c r="A30" s="344" t="s">
        <v>347</v>
      </c>
      <c r="B30" s="4"/>
      <c r="C30" s="68">
        <f t="shared" si="0"/>
        <v>4.0599999999999996</v>
      </c>
      <c r="D30" s="340">
        <v>3.04</v>
      </c>
      <c r="E30" s="277" t="s">
        <v>388</v>
      </c>
      <c r="F30" s="68">
        <f t="shared" si="1"/>
        <v>4.0599999999999996</v>
      </c>
      <c r="G30" s="342">
        <v>3.04</v>
      </c>
      <c r="H30" s="97">
        <f t="shared" si="2"/>
        <v>0</v>
      </c>
      <c r="I30" s="238"/>
      <c r="J30" s="238"/>
      <c r="K30" s="164"/>
      <c r="L30" s="158"/>
      <c r="M30" s="239"/>
      <c r="N30" s="239"/>
    </row>
    <row r="31" spans="1:14" x14ac:dyDescent="0.25">
      <c r="A31" s="344" t="s">
        <v>348</v>
      </c>
      <c r="B31" s="4"/>
      <c r="C31" s="68">
        <f t="shared" si="0"/>
        <v>4.0599999999999996</v>
      </c>
      <c r="D31" s="340">
        <v>3.04</v>
      </c>
      <c r="E31" s="277" t="s">
        <v>388</v>
      </c>
      <c r="F31" s="68">
        <f t="shared" si="1"/>
        <v>4.0599999999999996</v>
      </c>
      <c r="G31" s="342">
        <v>3.04</v>
      </c>
      <c r="H31" s="97">
        <f t="shared" si="2"/>
        <v>0</v>
      </c>
      <c r="I31" s="238"/>
      <c r="J31" s="238"/>
      <c r="K31" s="164"/>
      <c r="L31" s="158"/>
      <c r="M31" s="239"/>
      <c r="N31" s="239"/>
    </row>
    <row r="32" spans="1:14" x14ac:dyDescent="0.25">
      <c r="A32" s="339" t="s">
        <v>349</v>
      </c>
      <c r="B32" s="4"/>
      <c r="C32" s="68">
        <f t="shared" si="0"/>
        <v>3.38</v>
      </c>
      <c r="D32" s="340">
        <v>2.5299999999999998</v>
      </c>
      <c r="E32" s="277" t="s">
        <v>388</v>
      </c>
      <c r="F32" s="68">
        <f t="shared" si="1"/>
        <v>3.38</v>
      </c>
      <c r="G32" s="342">
        <v>2.5299999999999998</v>
      </c>
      <c r="H32" s="97">
        <f t="shared" si="2"/>
        <v>0</v>
      </c>
      <c r="I32" s="238"/>
      <c r="J32" s="238"/>
      <c r="K32" s="164"/>
      <c r="L32" s="158"/>
      <c r="M32" s="239"/>
      <c r="N32" s="239"/>
    </row>
    <row r="33" spans="1:14" x14ac:dyDescent="0.25">
      <c r="A33" s="128" t="s">
        <v>350</v>
      </c>
      <c r="B33" s="4"/>
      <c r="C33" s="68">
        <f t="shared" si="0"/>
        <v>3.38</v>
      </c>
      <c r="D33" s="340">
        <v>2.5299999999999998</v>
      </c>
      <c r="E33" s="277" t="s">
        <v>388</v>
      </c>
      <c r="F33" s="68">
        <f t="shared" si="1"/>
        <v>3.38</v>
      </c>
      <c r="G33" s="342">
        <v>2.5299999999999998</v>
      </c>
      <c r="H33" s="97">
        <f t="shared" si="2"/>
        <v>0</v>
      </c>
      <c r="I33" s="238"/>
      <c r="J33" s="238"/>
      <c r="K33" s="164"/>
      <c r="L33" s="158"/>
      <c r="M33" s="239"/>
      <c r="N33" s="239"/>
    </row>
    <row r="34" spans="1:14" x14ac:dyDescent="0.25">
      <c r="A34" s="128" t="s">
        <v>351</v>
      </c>
      <c r="B34" s="4"/>
      <c r="C34" s="68">
        <f t="shared" si="0"/>
        <v>3.38</v>
      </c>
      <c r="D34" s="340">
        <v>2.5299999999999998</v>
      </c>
      <c r="E34" s="277" t="s">
        <v>388</v>
      </c>
      <c r="F34" s="68">
        <f t="shared" si="1"/>
        <v>3.38</v>
      </c>
      <c r="G34" s="342">
        <v>2.5299999999999998</v>
      </c>
      <c r="H34" s="97">
        <f t="shared" si="2"/>
        <v>0</v>
      </c>
      <c r="I34" s="238"/>
      <c r="J34" s="238"/>
      <c r="K34" s="164"/>
      <c r="L34" s="158"/>
      <c r="M34" s="239"/>
      <c r="N34" s="239"/>
    </row>
    <row r="35" spans="1:14" x14ac:dyDescent="0.25">
      <c r="A35" s="128" t="s">
        <v>352</v>
      </c>
      <c r="B35" s="4"/>
      <c r="C35" s="68">
        <f t="shared" si="0"/>
        <v>4.74</v>
      </c>
      <c r="D35" s="340">
        <v>3.55</v>
      </c>
      <c r="E35" s="277" t="s">
        <v>388</v>
      </c>
      <c r="F35" s="68">
        <f t="shared" si="1"/>
        <v>4.74</v>
      </c>
      <c r="G35" s="342">
        <v>3.55</v>
      </c>
      <c r="H35" s="97">
        <f t="shared" si="2"/>
        <v>0</v>
      </c>
      <c r="I35" s="238"/>
      <c r="J35" s="238"/>
      <c r="K35" s="164"/>
      <c r="L35" s="158"/>
      <c r="M35" s="239"/>
      <c r="N35" s="239"/>
    </row>
    <row r="36" spans="1:14" x14ac:dyDescent="0.25">
      <c r="A36" s="128" t="s">
        <v>353</v>
      </c>
      <c r="B36" s="4"/>
      <c r="C36" s="68">
        <f t="shared" si="0"/>
        <v>4.74</v>
      </c>
      <c r="D36" s="340">
        <v>3.55</v>
      </c>
      <c r="E36" s="277" t="s">
        <v>388</v>
      </c>
      <c r="F36" s="68">
        <f t="shared" si="1"/>
        <v>4.74</v>
      </c>
      <c r="G36" s="342">
        <v>3.55</v>
      </c>
      <c r="H36" s="97">
        <f t="shared" si="2"/>
        <v>0</v>
      </c>
      <c r="I36" s="238"/>
      <c r="J36" s="238"/>
      <c r="K36" s="164"/>
      <c r="L36" s="158"/>
      <c r="M36" s="239"/>
      <c r="N36" s="239"/>
    </row>
    <row r="37" spans="1:14" x14ac:dyDescent="0.25">
      <c r="A37" s="128" t="s">
        <v>354</v>
      </c>
      <c r="B37" s="4"/>
      <c r="C37" s="68">
        <f t="shared" si="0"/>
        <v>4.0599999999999996</v>
      </c>
      <c r="D37" s="340">
        <v>3.04</v>
      </c>
      <c r="E37" s="277" t="s">
        <v>388</v>
      </c>
      <c r="F37" s="68">
        <f t="shared" si="1"/>
        <v>4.0599999999999996</v>
      </c>
      <c r="G37" s="342">
        <v>3.04</v>
      </c>
      <c r="H37" s="97">
        <f t="shared" si="2"/>
        <v>0</v>
      </c>
      <c r="I37" s="238"/>
      <c r="J37" s="238"/>
      <c r="K37" s="164"/>
      <c r="L37" s="158"/>
      <c r="M37" s="239"/>
      <c r="N37" s="239"/>
    </row>
    <row r="38" spans="1:14" x14ac:dyDescent="0.25">
      <c r="A38" s="128" t="s">
        <v>355</v>
      </c>
      <c r="B38" s="4"/>
      <c r="C38" s="68">
        <f t="shared" si="0"/>
        <v>4.0599999999999996</v>
      </c>
      <c r="D38" s="340">
        <v>3.04</v>
      </c>
      <c r="E38" s="277" t="s">
        <v>388</v>
      </c>
      <c r="F38" s="68">
        <f t="shared" si="1"/>
        <v>4.0599999999999996</v>
      </c>
      <c r="G38" s="342">
        <v>3.04</v>
      </c>
      <c r="H38" s="97">
        <f t="shared" si="2"/>
        <v>0</v>
      </c>
      <c r="I38" s="238"/>
      <c r="J38" s="238"/>
      <c r="K38" s="164"/>
      <c r="L38" s="158"/>
      <c r="M38" s="239"/>
      <c r="N38" s="239"/>
    </row>
    <row r="39" spans="1:14" x14ac:dyDescent="0.25">
      <c r="A39" s="128" t="s">
        <v>356</v>
      </c>
      <c r="B39" s="4"/>
      <c r="C39" s="68">
        <f t="shared" si="0"/>
        <v>2.71</v>
      </c>
      <c r="D39" s="340">
        <v>2.0299999999999998</v>
      </c>
      <c r="E39" s="277" t="s">
        <v>388</v>
      </c>
      <c r="F39" s="68">
        <f t="shared" si="1"/>
        <v>2.71</v>
      </c>
      <c r="G39" s="342">
        <v>2.0299999999999998</v>
      </c>
      <c r="H39" s="97">
        <f t="shared" si="2"/>
        <v>0</v>
      </c>
      <c r="I39" s="238"/>
      <c r="J39" s="238"/>
      <c r="K39" s="164"/>
      <c r="L39" s="158"/>
      <c r="M39" s="239"/>
      <c r="N39" s="239"/>
    </row>
    <row r="40" spans="1:14" x14ac:dyDescent="0.25">
      <c r="A40" s="128" t="s">
        <v>357</v>
      </c>
      <c r="B40" s="4"/>
      <c r="C40" s="68">
        <f t="shared" si="0"/>
        <v>4.0599999999999996</v>
      </c>
      <c r="D40" s="340">
        <v>3.04</v>
      </c>
      <c r="E40" s="277" t="s">
        <v>388</v>
      </c>
      <c r="F40" s="68">
        <f t="shared" si="1"/>
        <v>4.0599999999999996</v>
      </c>
      <c r="G40" s="342">
        <v>3.04</v>
      </c>
      <c r="H40" s="97">
        <f t="shared" si="2"/>
        <v>0</v>
      </c>
      <c r="I40" s="238"/>
      <c r="J40" s="238"/>
      <c r="K40" s="164"/>
      <c r="L40" s="158"/>
      <c r="M40" s="239"/>
      <c r="N40" s="239"/>
    </row>
    <row r="41" spans="1:14" x14ac:dyDescent="0.25">
      <c r="A41" s="128" t="s">
        <v>358</v>
      </c>
      <c r="B41" s="4"/>
      <c r="C41" s="68">
        <f t="shared" si="0"/>
        <v>4.0599999999999996</v>
      </c>
      <c r="D41" s="340">
        <v>3.04</v>
      </c>
      <c r="E41" s="277" t="s">
        <v>388</v>
      </c>
      <c r="F41" s="68">
        <f t="shared" si="1"/>
        <v>4.0599999999999996</v>
      </c>
      <c r="G41" s="342">
        <v>3.04</v>
      </c>
      <c r="H41" s="97">
        <f t="shared" si="2"/>
        <v>0</v>
      </c>
      <c r="I41" s="238"/>
      <c r="J41" s="238"/>
      <c r="K41" s="164"/>
      <c r="L41" s="158"/>
      <c r="M41" s="239"/>
      <c r="N41" s="239"/>
    </row>
    <row r="42" spans="1:14" x14ac:dyDescent="0.25">
      <c r="A42" s="128" t="s">
        <v>359</v>
      </c>
      <c r="B42" s="4"/>
      <c r="C42" s="68">
        <f t="shared" si="0"/>
        <v>2.71</v>
      </c>
      <c r="D42" s="340">
        <v>2.0299999999999998</v>
      </c>
      <c r="E42" s="277" t="s">
        <v>388</v>
      </c>
      <c r="F42" s="68">
        <f t="shared" si="1"/>
        <v>2.71</v>
      </c>
      <c r="G42" s="342">
        <v>2.0299999999999998</v>
      </c>
      <c r="H42" s="97">
        <f t="shared" si="2"/>
        <v>0</v>
      </c>
      <c r="I42" s="238"/>
      <c r="J42" s="238"/>
      <c r="K42" s="164"/>
      <c r="L42" s="158"/>
      <c r="M42" s="239"/>
      <c r="N42" s="239"/>
    </row>
    <row r="43" spans="1:14" x14ac:dyDescent="0.25">
      <c r="A43" s="128" t="s">
        <v>360</v>
      </c>
      <c r="B43" s="4"/>
      <c r="C43" s="68">
        <f t="shared" si="0"/>
        <v>2.71</v>
      </c>
      <c r="D43" s="340">
        <v>2.0299999999999998</v>
      </c>
      <c r="E43" s="277" t="s">
        <v>388</v>
      </c>
      <c r="F43" s="68">
        <f t="shared" si="1"/>
        <v>2.71</v>
      </c>
      <c r="G43" s="342">
        <v>2.0299999999999998</v>
      </c>
      <c r="H43" s="97">
        <f t="shared" si="2"/>
        <v>0</v>
      </c>
      <c r="I43" s="238"/>
      <c r="J43" s="238"/>
      <c r="K43" s="164"/>
      <c r="L43" s="158"/>
      <c r="M43" s="239"/>
      <c r="N43" s="239"/>
    </row>
    <row r="44" spans="1:14" x14ac:dyDescent="0.25">
      <c r="A44" s="128" t="s">
        <v>361</v>
      </c>
      <c r="B44" s="4"/>
      <c r="C44" s="68">
        <f t="shared" si="0"/>
        <v>4.0599999999999996</v>
      </c>
      <c r="D44" s="340">
        <v>3.04</v>
      </c>
      <c r="E44" s="277" t="s">
        <v>388</v>
      </c>
      <c r="F44" s="68">
        <f t="shared" si="1"/>
        <v>4.0599999999999996</v>
      </c>
      <c r="G44" s="342">
        <v>3.04</v>
      </c>
      <c r="H44" s="97">
        <f t="shared" si="2"/>
        <v>0</v>
      </c>
      <c r="I44" s="238"/>
      <c r="J44" s="238"/>
      <c r="K44" s="164"/>
      <c r="L44" s="158"/>
      <c r="M44" s="239"/>
      <c r="N44" s="239"/>
    </row>
    <row r="45" spans="1:14" x14ac:dyDescent="0.25">
      <c r="A45" s="128" t="s">
        <v>389</v>
      </c>
      <c r="B45" s="268"/>
      <c r="C45" s="164"/>
      <c r="D45" s="242"/>
      <c r="E45" s="165"/>
      <c r="F45" s="158"/>
      <c r="G45" s="345"/>
      <c r="H45" s="282"/>
      <c r="I45" s="238"/>
      <c r="J45" s="238"/>
      <c r="K45" s="164"/>
      <c r="L45" s="158"/>
      <c r="M45" s="239"/>
      <c r="N45" s="239"/>
    </row>
    <row r="46" spans="1:14" ht="13" x14ac:dyDescent="0.3">
      <c r="A46" s="128" t="s">
        <v>390</v>
      </c>
      <c r="B46" s="4"/>
      <c r="C46" s="68">
        <f t="shared" ref="C46:C73" si="3">ROUND(CPI*D46,2)</f>
        <v>4.0599999999999996</v>
      </c>
      <c r="D46" s="340">
        <v>3.04</v>
      </c>
      <c r="E46" s="277" t="s">
        <v>57</v>
      </c>
      <c r="F46" s="68">
        <f t="shared" ref="F46:F73" si="4">ROUND(CPI*G46,2)</f>
        <v>4.0599999999999996</v>
      </c>
      <c r="G46" s="342">
        <v>3.04</v>
      </c>
      <c r="H46" s="97">
        <f>IF($B$83="Yes",(B46*F46)*22,(B46*C46)*22)</f>
        <v>0</v>
      </c>
      <c r="I46" s="238"/>
      <c r="J46" s="238"/>
      <c r="K46" s="164"/>
      <c r="L46" s="158"/>
      <c r="M46" s="239"/>
      <c r="N46" s="239"/>
    </row>
    <row r="47" spans="1:14" ht="13" x14ac:dyDescent="0.3">
      <c r="A47" s="128" t="s">
        <v>391</v>
      </c>
      <c r="B47" s="4"/>
      <c r="C47" s="68">
        <f t="shared" si="3"/>
        <v>4.0599999999999996</v>
      </c>
      <c r="D47" s="340">
        <v>3.04</v>
      </c>
      <c r="E47" s="277" t="s">
        <v>57</v>
      </c>
      <c r="F47" s="68">
        <f t="shared" si="4"/>
        <v>4.0599999999999996</v>
      </c>
      <c r="G47" s="342">
        <v>3.04</v>
      </c>
      <c r="H47" s="97">
        <f>IF($B$83="Yes",(B47*F47)*32,(B47*C47)*32)</f>
        <v>0</v>
      </c>
      <c r="I47" s="238"/>
      <c r="J47" s="238"/>
      <c r="K47" s="164"/>
      <c r="L47" s="158"/>
      <c r="M47" s="239"/>
      <c r="N47" s="239"/>
    </row>
    <row r="48" spans="1:14" ht="13" x14ac:dyDescent="0.3">
      <c r="A48" s="128" t="s">
        <v>392</v>
      </c>
      <c r="B48" s="4"/>
      <c r="C48" s="68">
        <f t="shared" si="3"/>
        <v>4.0599999999999996</v>
      </c>
      <c r="D48" s="340">
        <v>3.04</v>
      </c>
      <c r="E48" s="277" t="s">
        <v>57</v>
      </c>
      <c r="F48" s="68">
        <f t="shared" si="4"/>
        <v>4.0599999999999996</v>
      </c>
      <c r="G48" s="342">
        <v>3.04</v>
      </c>
      <c r="H48" s="97">
        <f>IF($B$83="Yes",(B48*F48)*35,(B48*C48)*35)</f>
        <v>0</v>
      </c>
      <c r="I48" s="238"/>
      <c r="J48" s="238"/>
      <c r="K48" s="164"/>
      <c r="L48" s="158"/>
      <c r="M48" s="239"/>
      <c r="N48" s="239"/>
    </row>
    <row r="49" spans="1:14" ht="13" x14ac:dyDescent="0.3">
      <c r="A49" s="128" t="s">
        <v>393</v>
      </c>
      <c r="B49" s="4"/>
      <c r="C49" s="68">
        <f t="shared" si="3"/>
        <v>4.0599999999999996</v>
      </c>
      <c r="D49" s="340">
        <v>3.04</v>
      </c>
      <c r="E49" s="277" t="s">
        <v>57</v>
      </c>
      <c r="F49" s="68">
        <f t="shared" si="4"/>
        <v>4.0599999999999996</v>
      </c>
      <c r="G49" s="342">
        <v>3.04</v>
      </c>
      <c r="H49" s="97">
        <f>IF($B$83="Yes",(B49*F49)*31,(B49*C49)*31)</f>
        <v>0</v>
      </c>
      <c r="I49" s="238"/>
      <c r="J49" s="238"/>
      <c r="K49" s="164"/>
      <c r="L49" s="158"/>
      <c r="M49" s="239"/>
      <c r="N49" s="239"/>
    </row>
    <row r="50" spans="1:14" ht="13" x14ac:dyDescent="0.3">
      <c r="A50" s="128" t="s">
        <v>394</v>
      </c>
      <c r="B50" s="4"/>
      <c r="C50" s="68">
        <f t="shared" si="3"/>
        <v>4.0599999999999996</v>
      </c>
      <c r="D50" s="340">
        <v>3.04</v>
      </c>
      <c r="E50" s="277" t="s">
        <v>57</v>
      </c>
      <c r="F50" s="68">
        <f t="shared" si="4"/>
        <v>4.0599999999999996</v>
      </c>
      <c r="G50" s="342">
        <v>3.04</v>
      </c>
      <c r="H50" s="97">
        <f>IF($B$83="Yes",(B50*F50)*24,(B50*C50)*24)</f>
        <v>0</v>
      </c>
      <c r="I50" s="238"/>
      <c r="J50" s="238"/>
      <c r="K50" s="164"/>
      <c r="L50" s="158"/>
    </row>
    <row r="51" spans="1:14" ht="13" x14ac:dyDescent="0.3">
      <c r="A51" s="128" t="s">
        <v>395</v>
      </c>
      <c r="B51" s="4"/>
      <c r="C51" s="68">
        <f t="shared" si="3"/>
        <v>4.0599999999999996</v>
      </c>
      <c r="D51" s="340">
        <v>3.04</v>
      </c>
      <c r="E51" s="277" t="s">
        <v>57</v>
      </c>
      <c r="F51" s="68">
        <f t="shared" si="4"/>
        <v>4.0599999999999996</v>
      </c>
      <c r="G51" s="342">
        <v>3.04</v>
      </c>
      <c r="H51" s="97">
        <f>IF($B$83="Yes",(B51*F51)*15,(B51*C51)*15)</f>
        <v>0</v>
      </c>
      <c r="I51" s="238"/>
      <c r="J51" s="238"/>
      <c r="K51" s="164"/>
      <c r="L51" s="158"/>
    </row>
    <row r="52" spans="1:14" x14ac:dyDescent="0.25">
      <c r="A52" s="128" t="s">
        <v>362</v>
      </c>
      <c r="B52" s="4"/>
      <c r="C52" s="68">
        <f t="shared" si="3"/>
        <v>4.74</v>
      </c>
      <c r="D52" s="340">
        <v>3.55</v>
      </c>
      <c r="E52" s="277" t="s">
        <v>388</v>
      </c>
      <c r="F52" s="68">
        <f t="shared" si="4"/>
        <v>4.74</v>
      </c>
      <c r="G52" s="342">
        <v>3.55</v>
      </c>
      <c r="H52" s="97">
        <f t="shared" ref="H52:H73" si="5">IF($B$83="Yes",B52*F52,B52*C52)</f>
        <v>0</v>
      </c>
      <c r="I52" s="238"/>
      <c r="J52" s="238"/>
      <c r="K52" s="164"/>
      <c r="L52" s="158"/>
    </row>
    <row r="53" spans="1:14" x14ac:dyDescent="0.25">
      <c r="A53" s="128" t="s">
        <v>363</v>
      </c>
      <c r="B53" s="4"/>
      <c r="C53" s="68">
        <f t="shared" si="3"/>
        <v>2.71</v>
      </c>
      <c r="D53" s="340">
        <v>2.0299999999999998</v>
      </c>
      <c r="E53" s="277" t="s">
        <v>388</v>
      </c>
      <c r="F53" s="68">
        <f t="shared" si="4"/>
        <v>2.71</v>
      </c>
      <c r="G53" s="342">
        <v>2.0299999999999998</v>
      </c>
      <c r="H53" s="97">
        <f t="shared" si="5"/>
        <v>0</v>
      </c>
      <c r="I53" s="238"/>
      <c r="J53" s="238"/>
      <c r="K53" s="164"/>
      <c r="L53" s="158"/>
    </row>
    <row r="54" spans="1:14" x14ac:dyDescent="0.25">
      <c r="A54" s="339" t="s">
        <v>364</v>
      </c>
      <c r="B54" s="4"/>
      <c r="C54" s="68">
        <f t="shared" si="3"/>
        <v>2.71</v>
      </c>
      <c r="D54" s="340">
        <v>2.0299999999999998</v>
      </c>
      <c r="E54" s="277" t="s">
        <v>388</v>
      </c>
      <c r="F54" s="68">
        <f t="shared" si="4"/>
        <v>2.71</v>
      </c>
      <c r="G54" s="342">
        <v>2.0299999999999998</v>
      </c>
      <c r="H54" s="97">
        <f t="shared" si="5"/>
        <v>0</v>
      </c>
      <c r="I54" s="238"/>
      <c r="J54" s="238"/>
      <c r="K54" s="164"/>
      <c r="L54" s="158"/>
    </row>
    <row r="55" spans="1:14" x14ac:dyDescent="0.25">
      <c r="A55" s="128" t="s">
        <v>365</v>
      </c>
      <c r="B55" s="4"/>
      <c r="C55" s="68">
        <f t="shared" si="3"/>
        <v>2.71</v>
      </c>
      <c r="D55" s="340">
        <v>2.0299999999999998</v>
      </c>
      <c r="E55" s="277" t="s">
        <v>388</v>
      </c>
      <c r="F55" s="68">
        <f t="shared" si="4"/>
        <v>2.71</v>
      </c>
      <c r="G55" s="342">
        <v>2.0299999999999998</v>
      </c>
      <c r="H55" s="97">
        <f t="shared" si="5"/>
        <v>0</v>
      </c>
      <c r="I55" s="238"/>
      <c r="J55" s="238"/>
      <c r="K55" s="164"/>
      <c r="L55" s="158"/>
    </row>
    <row r="56" spans="1:14" x14ac:dyDescent="0.25">
      <c r="A56" s="128" t="s">
        <v>366</v>
      </c>
      <c r="B56" s="4"/>
      <c r="C56" s="68">
        <f t="shared" si="3"/>
        <v>2.71</v>
      </c>
      <c r="D56" s="340">
        <v>2.0299999999999998</v>
      </c>
      <c r="E56" s="277" t="s">
        <v>388</v>
      </c>
      <c r="F56" s="68">
        <f t="shared" si="4"/>
        <v>2.71</v>
      </c>
      <c r="G56" s="342">
        <v>2.0299999999999998</v>
      </c>
      <c r="H56" s="97">
        <f t="shared" si="5"/>
        <v>0</v>
      </c>
      <c r="I56" s="238"/>
      <c r="J56" s="238"/>
      <c r="K56" s="164"/>
      <c r="L56" s="158"/>
    </row>
    <row r="57" spans="1:14" x14ac:dyDescent="0.25">
      <c r="A57" s="344" t="s">
        <v>367</v>
      </c>
      <c r="B57" s="4"/>
      <c r="C57" s="68">
        <f t="shared" si="3"/>
        <v>3.05</v>
      </c>
      <c r="D57" s="340">
        <v>2.2799999999999998</v>
      </c>
      <c r="E57" s="277" t="s">
        <v>388</v>
      </c>
      <c r="F57" s="68">
        <f t="shared" si="4"/>
        <v>3.05</v>
      </c>
      <c r="G57" s="342">
        <v>2.2799999999999998</v>
      </c>
      <c r="H57" s="97">
        <f t="shared" si="5"/>
        <v>0</v>
      </c>
      <c r="I57" s="238"/>
      <c r="J57" s="238"/>
      <c r="K57" s="164"/>
      <c r="L57" s="158"/>
    </row>
    <row r="58" spans="1:14" x14ac:dyDescent="0.25">
      <c r="A58" s="344" t="s">
        <v>368</v>
      </c>
      <c r="B58" s="4"/>
      <c r="C58" s="68">
        <f t="shared" si="3"/>
        <v>3.05</v>
      </c>
      <c r="D58" s="340">
        <v>2.2799999999999998</v>
      </c>
      <c r="E58" s="277" t="s">
        <v>388</v>
      </c>
      <c r="F58" s="68">
        <f t="shared" si="4"/>
        <v>3.05</v>
      </c>
      <c r="G58" s="342">
        <v>2.2799999999999998</v>
      </c>
      <c r="H58" s="97">
        <f t="shared" si="5"/>
        <v>0</v>
      </c>
      <c r="I58" s="238"/>
      <c r="J58" s="238"/>
      <c r="K58" s="164"/>
      <c r="L58" s="158"/>
    </row>
    <row r="59" spans="1:14" x14ac:dyDescent="0.25">
      <c r="A59" s="344" t="s">
        <v>369</v>
      </c>
      <c r="B59" s="4"/>
      <c r="C59" s="68">
        <f t="shared" si="3"/>
        <v>3.38</v>
      </c>
      <c r="D59" s="340">
        <v>2.5299999999999998</v>
      </c>
      <c r="E59" s="277" t="s">
        <v>388</v>
      </c>
      <c r="F59" s="68">
        <f t="shared" si="4"/>
        <v>3.38</v>
      </c>
      <c r="G59" s="342">
        <v>2.5299999999999998</v>
      </c>
      <c r="H59" s="97">
        <f t="shared" si="5"/>
        <v>0</v>
      </c>
      <c r="I59" s="238"/>
      <c r="J59" s="238"/>
      <c r="K59" s="164"/>
      <c r="L59" s="158"/>
    </row>
    <row r="60" spans="1:14" x14ac:dyDescent="0.25">
      <c r="A60" s="344" t="s">
        <v>370</v>
      </c>
      <c r="B60" s="4"/>
      <c r="C60" s="68">
        <f t="shared" si="3"/>
        <v>3.38</v>
      </c>
      <c r="D60" s="340">
        <v>2.5299999999999998</v>
      </c>
      <c r="E60" s="277" t="s">
        <v>388</v>
      </c>
      <c r="F60" s="68">
        <f t="shared" si="4"/>
        <v>3.38</v>
      </c>
      <c r="G60" s="342">
        <v>2.5299999999999998</v>
      </c>
      <c r="H60" s="97">
        <f t="shared" si="5"/>
        <v>0</v>
      </c>
      <c r="I60" s="238"/>
      <c r="J60" s="238"/>
      <c r="K60" s="164"/>
      <c r="L60" s="158"/>
    </row>
    <row r="61" spans="1:14" x14ac:dyDescent="0.25">
      <c r="A61" s="339" t="s">
        <v>371</v>
      </c>
      <c r="B61" s="4"/>
      <c r="C61" s="68">
        <f t="shared" si="3"/>
        <v>3.05</v>
      </c>
      <c r="D61" s="340">
        <v>2.2799999999999998</v>
      </c>
      <c r="E61" s="277" t="s">
        <v>388</v>
      </c>
      <c r="F61" s="68">
        <f t="shared" si="4"/>
        <v>3.05</v>
      </c>
      <c r="G61" s="342">
        <v>2.2799999999999998</v>
      </c>
      <c r="H61" s="97">
        <f t="shared" si="5"/>
        <v>0</v>
      </c>
      <c r="I61" s="238"/>
      <c r="J61" s="238"/>
      <c r="K61" s="164"/>
      <c r="L61" s="158"/>
    </row>
    <row r="62" spans="1:14" x14ac:dyDescent="0.25">
      <c r="A62" s="128" t="s">
        <v>372</v>
      </c>
      <c r="B62" s="4"/>
      <c r="C62" s="68">
        <f t="shared" si="3"/>
        <v>3.05</v>
      </c>
      <c r="D62" s="340">
        <v>2.2799999999999998</v>
      </c>
      <c r="E62" s="277" t="s">
        <v>388</v>
      </c>
      <c r="F62" s="68">
        <f t="shared" si="4"/>
        <v>3.05</v>
      </c>
      <c r="G62" s="342">
        <v>2.2799999999999998</v>
      </c>
      <c r="H62" s="97">
        <f t="shared" si="5"/>
        <v>0</v>
      </c>
      <c r="I62" s="238"/>
      <c r="J62" s="238"/>
      <c r="K62" s="164"/>
      <c r="L62" s="158"/>
    </row>
    <row r="63" spans="1:14" x14ac:dyDescent="0.25">
      <c r="A63" s="128" t="s">
        <v>373</v>
      </c>
      <c r="B63" s="4"/>
      <c r="C63" s="68">
        <f t="shared" si="3"/>
        <v>2.71</v>
      </c>
      <c r="D63" s="340">
        <v>2.0299999999999998</v>
      </c>
      <c r="E63" s="277" t="s">
        <v>388</v>
      </c>
      <c r="F63" s="68">
        <f t="shared" si="4"/>
        <v>2.71</v>
      </c>
      <c r="G63" s="342">
        <v>2.0299999999999998</v>
      </c>
      <c r="H63" s="97">
        <f t="shared" si="5"/>
        <v>0</v>
      </c>
      <c r="I63" s="238"/>
      <c r="J63" s="238"/>
      <c r="K63" s="164"/>
      <c r="L63" s="158"/>
    </row>
    <row r="64" spans="1:14" x14ac:dyDescent="0.25">
      <c r="A64" s="128" t="s">
        <v>374</v>
      </c>
      <c r="B64" s="4"/>
      <c r="C64" s="68">
        <f t="shared" si="3"/>
        <v>6.09</v>
      </c>
      <c r="D64" s="340">
        <v>4.5599999999999996</v>
      </c>
      <c r="E64" s="277" t="s">
        <v>388</v>
      </c>
      <c r="F64" s="68">
        <f t="shared" si="4"/>
        <v>6.09</v>
      </c>
      <c r="G64" s="342">
        <v>4.5599999999999996</v>
      </c>
      <c r="H64" s="97">
        <f t="shared" si="5"/>
        <v>0</v>
      </c>
      <c r="I64" s="238"/>
      <c r="J64" s="238"/>
      <c r="K64" s="164"/>
      <c r="L64" s="158"/>
    </row>
    <row r="65" spans="1:12" x14ac:dyDescent="0.25">
      <c r="A65" s="128" t="s">
        <v>375</v>
      </c>
      <c r="B65" s="4"/>
      <c r="C65" s="68">
        <f t="shared" si="3"/>
        <v>6.09</v>
      </c>
      <c r="D65" s="340">
        <v>4.5599999999999996</v>
      </c>
      <c r="E65" s="277" t="s">
        <v>388</v>
      </c>
      <c r="F65" s="68">
        <f t="shared" si="4"/>
        <v>6.09</v>
      </c>
      <c r="G65" s="342">
        <v>4.5599999999999996</v>
      </c>
      <c r="H65" s="97">
        <f t="shared" si="5"/>
        <v>0</v>
      </c>
      <c r="I65" s="238"/>
      <c r="J65" s="238"/>
      <c r="K65" s="164"/>
      <c r="L65" s="158"/>
    </row>
    <row r="66" spans="1:12" x14ac:dyDescent="0.25">
      <c r="A66" s="128" t="s">
        <v>376</v>
      </c>
      <c r="B66" s="4"/>
      <c r="C66" s="68">
        <f t="shared" si="3"/>
        <v>6.09</v>
      </c>
      <c r="D66" s="340">
        <v>4.5599999999999996</v>
      </c>
      <c r="E66" s="277" t="s">
        <v>388</v>
      </c>
      <c r="F66" s="68">
        <f t="shared" si="4"/>
        <v>6.09</v>
      </c>
      <c r="G66" s="342">
        <v>4.5599999999999996</v>
      </c>
      <c r="H66" s="97">
        <f t="shared" si="5"/>
        <v>0</v>
      </c>
      <c r="I66" s="238"/>
      <c r="J66" s="238"/>
      <c r="K66" s="164"/>
      <c r="L66" s="158"/>
    </row>
    <row r="67" spans="1:12" x14ac:dyDescent="0.25">
      <c r="A67" s="128" t="s">
        <v>377</v>
      </c>
      <c r="B67" s="4"/>
      <c r="C67" s="68">
        <f t="shared" si="3"/>
        <v>6.09</v>
      </c>
      <c r="D67" s="340">
        <v>4.5599999999999996</v>
      </c>
      <c r="E67" s="277" t="s">
        <v>388</v>
      </c>
      <c r="F67" s="68">
        <f t="shared" si="4"/>
        <v>6.09</v>
      </c>
      <c r="G67" s="342">
        <v>4.5599999999999996</v>
      </c>
      <c r="H67" s="97">
        <f t="shared" si="5"/>
        <v>0</v>
      </c>
      <c r="I67" s="238"/>
      <c r="J67" s="238"/>
      <c r="K67" s="164"/>
      <c r="L67" s="158"/>
    </row>
    <row r="68" spans="1:12" x14ac:dyDescent="0.25">
      <c r="A68" s="128" t="s">
        <v>378</v>
      </c>
      <c r="B68" s="4"/>
      <c r="C68" s="68">
        <f t="shared" si="3"/>
        <v>4.0599999999999996</v>
      </c>
      <c r="D68" s="340">
        <v>3.04</v>
      </c>
      <c r="E68" s="277" t="s">
        <v>388</v>
      </c>
      <c r="F68" s="68">
        <f t="shared" si="4"/>
        <v>4.0599999999999996</v>
      </c>
      <c r="G68" s="342">
        <v>3.04</v>
      </c>
      <c r="H68" s="97">
        <f t="shared" si="5"/>
        <v>0</v>
      </c>
      <c r="I68" s="238"/>
      <c r="J68" s="238"/>
      <c r="K68" s="164"/>
      <c r="L68" s="158"/>
    </row>
    <row r="69" spans="1:12" x14ac:dyDescent="0.25">
      <c r="A69" s="128" t="s">
        <v>379</v>
      </c>
      <c r="B69" s="4"/>
      <c r="C69" s="68">
        <f t="shared" si="3"/>
        <v>5.41</v>
      </c>
      <c r="D69" s="340">
        <v>4.05</v>
      </c>
      <c r="E69" s="277" t="s">
        <v>388</v>
      </c>
      <c r="F69" s="68">
        <f t="shared" si="4"/>
        <v>5.41</v>
      </c>
      <c r="G69" s="342">
        <v>4.05</v>
      </c>
      <c r="H69" s="97">
        <f t="shared" si="5"/>
        <v>0</v>
      </c>
      <c r="I69" s="238"/>
      <c r="J69" s="238"/>
      <c r="K69" s="164"/>
      <c r="L69" s="158"/>
    </row>
    <row r="70" spans="1:12" x14ac:dyDescent="0.25">
      <c r="A70" s="128" t="s">
        <v>380</v>
      </c>
      <c r="B70" s="4"/>
      <c r="C70" s="68">
        <f t="shared" si="3"/>
        <v>5.41</v>
      </c>
      <c r="D70" s="340">
        <v>4.05</v>
      </c>
      <c r="E70" s="277" t="s">
        <v>388</v>
      </c>
      <c r="F70" s="68">
        <f t="shared" si="4"/>
        <v>5.41</v>
      </c>
      <c r="G70" s="342">
        <v>4.05</v>
      </c>
      <c r="H70" s="97">
        <f t="shared" si="5"/>
        <v>0</v>
      </c>
      <c r="I70" s="238"/>
      <c r="J70" s="238"/>
      <c r="K70" s="164"/>
      <c r="L70" s="158"/>
    </row>
    <row r="71" spans="1:12" x14ac:dyDescent="0.25">
      <c r="A71" s="128" t="s">
        <v>381</v>
      </c>
      <c r="B71" s="4"/>
      <c r="C71" s="68">
        <f t="shared" si="3"/>
        <v>2.71</v>
      </c>
      <c r="D71" s="340">
        <v>2.0299999999999998</v>
      </c>
      <c r="E71" s="277" t="s">
        <v>388</v>
      </c>
      <c r="F71" s="68">
        <f t="shared" si="4"/>
        <v>2.71</v>
      </c>
      <c r="G71" s="342">
        <v>2.0299999999999998</v>
      </c>
      <c r="H71" s="97">
        <f t="shared" si="5"/>
        <v>0</v>
      </c>
      <c r="I71" s="238"/>
      <c r="J71" s="238"/>
      <c r="K71" s="164"/>
      <c r="L71" s="158"/>
    </row>
    <row r="72" spans="1:12" x14ac:dyDescent="0.25">
      <c r="A72" s="128" t="s">
        <v>382</v>
      </c>
      <c r="B72" s="4"/>
      <c r="C72" s="68">
        <f t="shared" si="3"/>
        <v>2.71</v>
      </c>
      <c r="D72" s="340">
        <v>2.0299999999999998</v>
      </c>
      <c r="E72" s="277" t="s">
        <v>388</v>
      </c>
      <c r="F72" s="68">
        <f t="shared" si="4"/>
        <v>2.71</v>
      </c>
      <c r="G72" s="342">
        <v>2.0299999999999998</v>
      </c>
      <c r="H72" s="97">
        <f t="shared" si="5"/>
        <v>0</v>
      </c>
      <c r="I72" s="238"/>
      <c r="J72" s="238"/>
      <c r="K72" s="164"/>
      <c r="L72" s="158"/>
    </row>
    <row r="73" spans="1:12" x14ac:dyDescent="0.25">
      <c r="A73" s="128" t="s">
        <v>383</v>
      </c>
      <c r="B73" s="4"/>
      <c r="C73" s="68">
        <f t="shared" si="3"/>
        <v>5.41</v>
      </c>
      <c r="D73" s="340">
        <v>4.05</v>
      </c>
      <c r="E73" s="277" t="s">
        <v>388</v>
      </c>
      <c r="F73" s="68">
        <f t="shared" si="4"/>
        <v>5.41</v>
      </c>
      <c r="G73" s="342">
        <v>4.05</v>
      </c>
      <c r="H73" s="97">
        <f t="shared" si="5"/>
        <v>0</v>
      </c>
      <c r="I73" s="238"/>
      <c r="J73" s="238"/>
      <c r="K73" s="164"/>
      <c r="L73" s="158"/>
    </row>
    <row r="74" spans="1:12" x14ac:dyDescent="0.25">
      <c r="A74" s="128" t="s">
        <v>396</v>
      </c>
      <c r="B74" s="268"/>
      <c r="C74" s="183"/>
      <c r="D74" s="198"/>
      <c r="E74" s="165"/>
      <c r="F74" s="154"/>
      <c r="G74" s="346"/>
      <c r="H74" s="282"/>
      <c r="I74" s="238"/>
      <c r="J74" s="238"/>
      <c r="K74" s="164"/>
      <c r="L74" s="158"/>
    </row>
    <row r="75" spans="1:12" ht="13" x14ac:dyDescent="0.3">
      <c r="A75" s="128" t="s">
        <v>390</v>
      </c>
      <c r="B75" s="4"/>
      <c r="C75" s="68">
        <f t="shared" ref="C75:C81" si="6">ROUND(CPI*D75,2)</f>
        <v>5.41</v>
      </c>
      <c r="D75" s="340">
        <v>4.05</v>
      </c>
      <c r="E75" s="277" t="s">
        <v>57</v>
      </c>
      <c r="F75" s="68">
        <f t="shared" ref="F75:F81" si="7">ROUND(CPI*G75,2)</f>
        <v>5.41</v>
      </c>
      <c r="G75" s="342">
        <v>4.05</v>
      </c>
      <c r="H75" s="97">
        <f>IF($B$83="Yes",(B75*F75)*22,(B75*C75)*22)</f>
        <v>0</v>
      </c>
      <c r="I75" s="238"/>
      <c r="J75" s="238"/>
      <c r="K75" s="164"/>
      <c r="L75" s="158"/>
    </row>
    <row r="76" spans="1:12" ht="13" x14ac:dyDescent="0.3">
      <c r="A76" s="128" t="s">
        <v>391</v>
      </c>
      <c r="B76" s="4"/>
      <c r="C76" s="68">
        <f t="shared" si="6"/>
        <v>5.41</v>
      </c>
      <c r="D76" s="340">
        <v>4.05</v>
      </c>
      <c r="E76" s="277" t="s">
        <v>57</v>
      </c>
      <c r="F76" s="68">
        <f t="shared" si="7"/>
        <v>5.41</v>
      </c>
      <c r="G76" s="342">
        <v>4.05</v>
      </c>
      <c r="H76" s="97">
        <f>IF($B$83="Yes",(B76*F76)*32,(B76*C76)*32)</f>
        <v>0</v>
      </c>
      <c r="I76" s="238"/>
      <c r="J76" s="238"/>
      <c r="K76" s="164"/>
      <c r="L76" s="158"/>
    </row>
    <row r="77" spans="1:12" ht="13" x14ac:dyDescent="0.3">
      <c r="A77" s="128" t="s">
        <v>392</v>
      </c>
      <c r="B77" s="4"/>
      <c r="C77" s="68">
        <f t="shared" si="6"/>
        <v>5.41</v>
      </c>
      <c r="D77" s="340">
        <v>4.05</v>
      </c>
      <c r="E77" s="277" t="s">
        <v>57</v>
      </c>
      <c r="F77" s="68">
        <f t="shared" si="7"/>
        <v>5.41</v>
      </c>
      <c r="G77" s="342">
        <v>4.05</v>
      </c>
      <c r="H77" s="97">
        <f>IF($B$83="Yes",(B77*F77)*35,(B77*C77)*35)</f>
        <v>0</v>
      </c>
      <c r="I77" s="238"/>
      <c r="J77" s="238"/>
      <c r="K77" s="164"/>
      <c r="L77" s="158"/>
    </row>
    <row r="78" spans="1:12" ht="13" x14ac:dyDescent="0.3">
      <c r="A78" s="128" t="s">
        <v>393</v>
      </c>
      <c r="B78" s="4"/>
      <c r="C78" s="68">
        <f t="shared" si="6"/>
        <v>5.41</v>
      </c>
      <c r="D78" s="340">
        <v>4.05</v>
      </c>
      <c r="E78" s="277" t="s">
        <v>57</v>
      </c>
      <c r="F78" s="68">
        <f t="shared" si="7"/>
        <v>5.41</v>
      </c>
      <c r="G78" s="342">
        <v>4.05</v>
      </c>
      <c r="H78" s="97">
        <f>IF($B$83="Yes",(B78*F78)*31,(B78*C78)*31)</f>
        <v>0</v>
      </c>
      <c r="I78" s="238"/>
      <c r="J78" s="238"/>
      <c r="K78" s="164"/>
      <c r="L78" s="158"/>
    </row>
    <row r="79" spans="1:12" ht="13" x14ac:dyDescent="0.3">
      <c r="A79" s="128" t="s">
        <v>394</v>
      </c>
      <c r="B79" s="4"/>
      <c r="C79" s="68">
        <f t="shared" si="6"/>
        <v>5.41</v>
      </c>
      <c r="D79" s="340">
        <v>4.05</v>
      </c>
      <c r="E79" s="277" t="s">
        <v>57</v>
      </c>
      <c r="F79" s="68">
        <f t="shared" si="7"/>
        <v>5.41</v>
      </c>
      <c r="G79" s="342">
        <v>4.05</v>
      </c>
      <c r="H79" s="97">
        <f>IF($B$83="Yes",(B79*F79)*24,(B79*C79)*24)</f>
        <v>0</v>
      </c>
      <c r="I79" s="238"/>
      <c r="J79" s="238"/>
      <c r="K79" s="164"/>
      <c r="L79" s="158"/>
    </row>
    <row r="80" spans="1:12" ht="13" x14ac:dyDescent="0.3">
      <c r="A80" s="128" t="s">
        <v>395</v>
      </c>
      <c r="B80" s="4"/>
      <c r="C80" s="68">
        <f t="shared" si="6"/>
        <v>5.41</v>
      </c>
      <c r="D80" s="340">
        <v>4.05</v>
      </c>
      <c r="E80" s="277" t="s">
        <v>57</v>
      </c>
      <c r="F80" s="68">
        <f t="shared" si="7"/>
        <v>5.41</v>
      </c>
      <c r="G80" s="342">
        <v>4.05</v>
      </c>
      <c r="H80" s="97">
        <f>IF($B$83="Yes",(B80*F80)*15,(B80*C80)*15)</f>
        <v>0</v>
      </c>
      <c r="I80" s="238"/>
      <c r="J80" s="238"/>
      <c r="K80" s="164"/>
      <c r="L80" s="158"/>
    </row>
    <row r="81" spans="1:12" ht="13" thickBot="1" x14ac:dyDescent="0.3">
      <c r="A81" s="270" t="s">
        <v>384</v>
      </c>
      <c r="B81" s="7"/>
      <c r="C81" s="68">
        <f t="shared" si="6"/>
        <v>4.0599999999999996</v>
      </c>
      <c r="D81" s="347">
        <v>3.04</v>
      </c>
      <c r="E81" s="277" t="s">
        <v>388</v>
      </c>
      <c r="F81" s="68">
        <f t="shared" si="7"/>
        <v>4.0599999999999996</v>
      </c>
      <c r="G81" s="348">
        <v>3.04</v>
      </c>
      <c r="H81" s="97">
        <f>IF($B$83="Yes",B81*F81,B81*C81)</f>
        <v>0</v>
      </c>
      <c r="I81" s="238"/>
      <c r="J81" s="238"/>
      <c r="K81" s="164"/>
      <c r="L81" s="158"/>
    </row>
    <row r="82" spans="1:12" ht="13.5" thickBot="1" x14ac:dyDescent="0.35">
      <c r="A82" s="284"/>
      <c r="B82" s="169"/>
      <c r="C82" s="595" t="s">
        <v>405</v>
      </c>
      <c r="D82" s="596"/>
      <c r="E82" s="596"/>
      <c r="F82" s="597"/>
      <c r="G82" s="285"/>
      <c r="H82" s="99">
        <f>SUM(H16:H81)</f>
        <v>0</v>
      </c>
      <c r="I82" s="238"/>
      <c r="J82" s="238"/>
      <c r="K82" s="164"/>
      <c r="L82" s="158"/>
    </row>
    <row r="83" spans="1:12" ht="13" thickBot="1" x14ac:dyDescent="0.3">
      <c r="A83" s="289" t="s">
        <v>411</v>
      </c>
      <c r="B83" s="8"/>
      <c r="C83" s="164"/>
      <c r="D83" s="164"/>
      <c r="E83" s="164"/>
      <c r="F83" s="150"/>
      <c r="G83" s="150"/>
      <c r="H83" s="168"/>
      <c r="I83" s="238"/>
      <c r="J83" s="238"/>
      <c r="K83" s="164"/>
      <c r="L83" s="158"/>
    </row>
    <row r="84" spans="1:12" x14ac:dyDescent="0.25">
      <c r="A84" s="118"/>
      <c r="B84" s="122"/>
      <c r="C84" s="120"/>
      <c r="D84" s="120"/>
      <c r="E84" s="120"/>
      <c r="F84" s="118"/>
      <c r="G84" s="118"/>
      <c r="H84" s="118"/>
    </row>
    <row r="85" spans="1:12" x14ac:dyDescent="0.25">
      <c r="A85" s="118"/>
      <c r="B85" s="122"/>
      <c r="C85" s="120"/>
      <c r="D85" s="120"/>
      <c r="E85" s="120"/>
      <c r="F85" s="118"/>
      <c r="G85" s="118"/>
      <c r="H85" s="118"/>
    </row>
    <row r="86" spans="1:12" x14ac:dyDescent="0.25">
      <c r="B86" s="122"/>
      <c r="C86" s="120"/>
      <c r="D86" s="120"/>
      <c r="E86" s="120"/>
      <c r="F86" s="118"/>
      <c r="G86" s="118"/>
      <c r="H86" s="118"/>
    </row>
    <row r="87" spans="1:12" x14ac:dyDescent="0.25">
      <c r="A87" s="338"/>
      <c r="B87" s="122"/>
      <c r="C87" s="120"/>
      <c r="D87" s="120"/>
      <c r="E87" s="120"/>
      <c r="F87" s="118"/>
      <c r="G87" s="118"/>
      <c r="H87" s="118"/>
    </row>
    <row r="88" spans="1:12" x14ac:dyDescent="0.25">
      <c r="A88" s="338"/>
      <c r="B88" s="122"/>
      <c r="C88" s="120"/>
      <c r="D88" s="120"/>
      <c r="E88" s="120"/>
      <c r="F88" s="118"/>
      <c r="G88" s="118"/>
      <c r="H88" s="118"/>
    </row>
    <row r="89" spans="1:12" x14ac:dyDescent="0.25">
      <c r="A89" s="118"/>
      <c r="B89" s="122"/>
      <c r="C89" s="120"/>
      <c r="D89" s="120"/>
      <c r="E89" s="120"/>
      <c r="F89" s="118"/>
      <c r="G89" s="118"/>
      <c r="H89" s="118"/>
    </row>
  </sheetData>
  <sheetProtection algorithmName="SHA-512" hashValue="EDgXzK7F/147bEavKc+kt84RG9vcXZ6VSFR4Czr7LLbaO7JJ5N4rI3acv4vI0C8wQPG3oQNA2LNAtjmCgUgEBw==" saltValue="/9bKPn0ZdnExDW5Vgss4dw==" spinCount="100000" sheet="1" insertRows="0" selectLockedCells="1"/>
  <mergeCells count="4">
    <mergeCell ref="A13:H13"/>
    <mergeCell ref="C14:F14"/>
    <mergeCell ref="C15:E15"/>
    <mergeCell ref="C82:F82"/>
  </mergeCells>
  <dataValidations disablePrompts="1" count="1">
    <dataValidation type="list" allowBlank="1" showInputMessage="1" showErrorMessage="1" sqref="B83" xr:uid="{00000000-0002-0000-0200-000000000000}">
      <formula1>"Yes,No"</formula1>
    </dataValidation>
  </dataValidations>
  <printOptions horizontalCentered="1"/>
  <pageMargins left="0" right="0" top="0.51" bottom="0.4" header="0.23" footer="0.17"/>
  <pageSetup scale="92" orientation="portrait" r:id="rId1"/>
  <headerFooter alignWithMargins="0">
    <oddFooter>&amp;LFees Effective 07/01/2023&amp;RPage &amp;P of &amp;N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59"/>
  <sheetViews>
    <sheetView topLeftCell="A16" zoomScaleNormal="100" zoomScaleSheetLayoutView="115" workbookViewId="0">
      <selection activeCell="J53" sqref="J53"/>
    </sheetView>
  </sheetViews>
  <sheetFormatPr defaultColWidth="9.08984375" defaultRowHeight="12.5" x14ac:dyDescent="0.25"/>
  <cols>
    <col min="1" max="1" width="17.36328125" style="121" customWidth="1"/>
    <col min="2" max="2" width="8" style="121" customWidth="1"/>
    <col min="3" max="3" width="6.08984375" style="121" customWidth="1"/>
    <col min="4" max="4" width="18" style="121" customWidth="1"/>
    <col min="5" max="5" width="2.6328125" style="121" customWidth="1"/>
    <col min="6" max="6" width="15" style="121" customWidth="1"/>
    <col min="7" max="7" width="11.453125" style="121" customWidth="1"/>
    <col min="8" max="8" width="11.453125" style="121" hidden="1" customWidth="1"/>
    <col min="9" max="9" width="9.54296875" style="121" bestFit="1" customWidth="1"/>
    <col min="10" max="10" width="16.08984375" style="121" bestFit="1" customWidth="1"/>
    <col min="11" max="11" width="5.453125" style="121" bestFit="1" customWidth="1"/>
    <col min="12" max="16384" width="9.08984375" style="121"/>
  </cols>
  <sheetData>
    <row r="1" spans="1:11" ht="44.25" customHeight="1" thickTop="1" thickBot="1" x14ac:dyDescent="0.3">
      <c r="A1" s="598" t="s">
        <v>567</v>
      </c>
      <c r="B1" s="599"/>
      <c r="C1" s="599"/>
      <c r="D1" s="599"/>
      <c r="E1" s="599"/>
      <c r="F1" s="599"/>
      <c r="G1" s="599"/>
      <c r="H1" s="599"/>
      <c r="I1" s="599"/>
      <c r="J1" s="599"/>
      <c r="K1" s="600"/>
    </row>
    <row r="2" spans="1:11" ht="13" thickTop="1" x14ac:dyDescent="0.25">
      <c r="A2" s="354" t="s">
        <v>437</v>
      </c>
      <c r="B2" s="165"/>
      <c r="C2" s="165"/>
      <c r="D2" s="165"/>
      <c r="E2" s="165"/>
      <c r="F2" s="165"/>
      <c r="G2" s="165"/>
      <c r="H2" s="165"/>
      <c r="I2" s="165"/>
      <c r="J2" s="165"/>
      <c r="K2" s="355"/>
    </row>
    <row r="3" spans="1:11" ht="15.5" x14ac:dyDescent="0.35">
      <c r="A3" s="356" t="s">
        <v>438</v>
      </c>
      <c r="B3" s="357"/>
      <c r="C3" s="358"/>
      <c r="D3" s="359"/>
      <c r="E3" s="359"/>
      <c r="F3" s="357" t="s">
        <v>439</v>
      </c>
      <c r="G3" s="357"/>
      <c r="H3" s="357"/>
      <c r="I3" s="357"/>
      <c r="J3" s="359"/>
      <c r="K3" s="360"/>
    </row>
    <row r="4" spans="1:11" ht="15.5" x14ac:dyDescent="0.35">
      <c r="A4" s="361"/>
      <c r="B4" s="359"/>
      <c r="C4" s="359"/>
      <c r="D4" s="359"/>
      <c r="E4" s="359"/>
      <c r="F4" s="359"/>
      <c r="G4" s="359"/>
      <c r="H4" s="359"/>
      <c r="I4" s="359"/>
      <c r="J4" s="359"/>
      <c r="K4" s="360"/>
    </row>
    <row r="5" spans="1:11" ht="15.5" x14ac:dyDescent="0.35">
      <c r="A5" s="361" t="s">
        <v>440</v>
      </c>
      <c r="B5" s="359"/>
      <c r="C5" s="362"/>
      <c r="D5" s="359"/>
      <c r="E5" s="359"/>
      <c r="F5" s="359" t="s">
        <v>441</v>
      </c>
      <c r="G5" s="359"/>
      <c r="H5" s="359"/>
      <c r="I5" s="359"/>
      <c r="J5" s="24"/>
      <c r="K5" s="363" t="s">
        <v>442</v>
      </c>
    </row>
    <row r="6" spans="1:11" ht="15.5" x14ac:dyDescent="0.35">
      <c r="A6" s="361" t="s">
        <v>443</v>
      </c>
      <c r="B6" s="359"/>
      <c r="C6" s="362"/>
      <c r="D6" s="359"/>
      <c r="E6" s="359"/>
      <c r="F6" s="359" t="s">
        <v>444</v>
      </c>
      <c r="G6" s="359"/>
      <c r="H6" s="359"/>
      <c r="I6" s="359"/>
      <c r="J6" s="24"/>
      <c r="K6" s="363" t="s">
        <v>442</v>
      </c>
    </row>
    <row r="7" spans="1:11" ht="15.5" x14ac:dyDescent="0.35">
      <c r="A7" s="361" t="s">
        <v>445</v>
      </c>
      <c r="B7" s="359"/>
      <c r="C7" s="362"/>
      <c r="D7" s="359"/>
      <c r="E7" s="359"/>
      <c r="F7" s="359" t="s">
        <v>446</v>
      </c>
      <c r="G7" s="359"/>
      <c r="H7" s="359"/>
      <c r="I7" s="359"/>
      <c r="J7" s="24"/>
      <c r="K7" s="363" t="s">
        <v>442</v>
      </c>
    </row>
    <row r="8" spans="1:11" ht="16" thickBot="1" x14ac:dyDescent="0.4">
      <c r="A8" s="361" t="s">
        <v>447</v>
      </c>
      <c r="B8" s="359"/>
      <c r="C8" s="364"/>
      <c r="D8" s="359"/>
      <c r="E8" s="359"/>
      <c r="F8" s="359" t="s">
        <v>448</v>
      </c>
      <c r="G8" s="359"/>
      <c r="H8" s="359"/>
      <c r="I8" s="359"/>
      <c r="J8" s="25"/>
      <c r="K8" s="363" t="s">
        <v>442</v>
      </c>
    </row>
    <row r="9" spans="1:11" ht="16" thickTop="1" x14ac:dyDescent="0.35">
      <c r="A9" s="361" t="s">
        <v>449</v>
      </c>
      <c r="B9" s="359"/>
      <c r="C9" s="359"/>
      <c r="D9" s="359"/>
      <c r="E9" s="359"/>
      <c r="F9" s="359" t="s">
        <v>450</v>
      </c>
      <c r="G9" s="359"/>
      <c r="H9" s="359"/>
      <c r="I9" s="359"/>
      <c r="J9" s="83">
        <f>IF(J5&gt;J6,J5+J7+J8,J6+J7+J8)</f>
        <v>0</v>
      </c>
      <c r="K9" s="363" t="s">
        <v>442</v>
      </c>
    </row>
    <row r="10" spans="1:11" ht="13" thickBot="1" x14ac:dyDescent="0.3">
      <c r="A10" s="365"/>
      <c r="B10" s="366"/>
      <c r="C10" s="366"/>
      <c r="D10" s="366"/>
      <c r="E10" s="366"/>
      <c r="F10" s="366" t="s">
        <v>451</v>
      </c>
      <c r="G10" s="366"/>
      <c r="H10" s="366"/>
      <c r="I10" s="366"/>
      <c r="J10" s="366"/>
      <c r="K10" s="367"/>
    </row>
    <row r="11" spans="1:11" ht="14" thickTop="1" thickBot="1" x14ac:dyDescent="0.3">
      <c r="A11" s="354"/>
      <c r="B11" s="165"/>
      <c r="C11" s="165"/>
      <c r="D11" s="368" t="s">
        <v>452</v>
      </c>
      <c r="E11" s="369"/>
      <c r="F11" s="370"/>
      <c r="G11" s="371"/>
      <c r="H11" s="372"/>
      <c r="I11" s="370"/>
      <c r="J11" s="165"/>
      <c r="K11" s="355"/>
    </row>
    <row r="12" spans="1:11" ht="13" thickTop="1" x14ac:dyDescent="0.25">
      <c r="A12" s="373"/>
      <c r="B12" s="306"/>
      <c r="C12" s="165"/>
      <c r="D12" s="165"/>
      <c r="E12" s="165"/>
      <c r="F12" s="165"/>
      <c r="G12" s="165"/>
      <c r="H12" s="165"/>
      <c r="I12" s="165"/>
      <c r="J12" s="165"/>
      <c r="K12" s="355"/>
    </row>
    <row r="13" spans="1:11" ht="15.5" x14ac:dyDescent="0.35">
      <c r="A13" s="374" t="s">
        <v>453</v>
      </c>
      <c r="B13" s="375"/>
      <c r="C13" s="359"/>
      <c r="D13" s="84">
        <f>ROUND(IF(J9&gt;J47,(J9-J47)*F47+D47,IF(J9&gt;J46,(J9-J46)*F46+D46,IF(J9&gt;J45,(J9-J45)*F45+D45,IF(J9&gt;J44,(J9-J44)*F44+D44,IF(J9&gt;1,D43,IF(J9=0,0)))))),0)</f>
        <v>0</v>
      </c>
      <c r="E13" s="84"/>
      <c r="F13" s="359" t="s">
        <v>454</v>
      </c>
      <c r="G13" s="359"/>
      <c r="H13" s="359"/>
      <c r="I13" s="359"/>
      <c r="J13" s="85">
        <f>J9</f>
        <v>0</v>
      </c>
      <c r="K13" s="360" t="s">
        <v>442</v>
      </c>
    </row>
    <row r="14" spans="1:11" ht="15.5" x14ac:dyDescent="0.35">
      <c r="A14" s="361"/>
      <c r="B14" s="359"/>
      <c r="C14" s="359"/>
      <c r="D14" s="376"/>
      <c r="E14" s="376"/>
      <c r="F14" s="92"/>
      <c r="G14" s="92"/>
      <c r="H14" s="92"/>
      <c r="I14" s="92"/>
      <c r="J14" s="377"/>
      <c r="K14" s="378"/>
    </row>
    <row r="15" spans="1:11" ht="16" thickBot="1" x14ac:dyDescent="0.4">
      <c r="A15" s="361" t="s">
        <v>455</v>
      </c>
      <c r="B15" s="359"/>
      <c r="C15" s="26"/>
      <c r="D15" s="102">
        <f>IF(C15&gt;5,(C15-5)*0.1*D13,IF(C15&lt;6,0))</f>
        <v>0</v>
      </c>
      <c r="E15" s="87"/>
      <c r="F15" s="379" t="s">
        <v>488</v>
      </c>
      <c r="G15" s="380"/>
      <c r="H15" s="380"/>
      <c r="I15" s="380"/>
      <c r="J15" s="380"/>
      <c r="K15" s="355"/>
    </row>
    <row r="16" spans="1:11" ht="16" thickTop="1" x14ac:dyDescent="0.35">
      <c r="A16" s="361" t="s">
        <v>456</v>
      </c>
      <c r="B16" s="359"/>
      <c r="C16" s="381"/>
      <c r="D16" s="87">
        <f>D13+D15+IF(J52="Yes", I52,0)+IF(J53="Yes",I53,0)+IF(J54="Yes",I54,0)</f>
        <v>0</v>
      </c>
      <c r="E16" s="87"/>
      <c r="F16" s="92"/>
      <c r="G16" s="92"/>
      <c r="H16" s="92"/>
      <c r="I16" s="92"/>
      <c r="J16" s="380"/>
      <c r="K16" s="355"/>
    </row>
    <row r="17" spans="1:11" ht="15.5" x14ac:dyDescent="0.35">
      <c r="A17" s="361"/>
      <c r="B17" s="359"/>
      <c r="C17" s="381"/>
      <c r="D17" s="86"/>
      <c r="E17" s="86"/>
      <c r="F17" s="92"/>
      <c r="G17" s="92"/>
      <c r="H17" s="92"/>
      <c r="I17" s="92"/>
      <c r="J17" s="380"/>
      <c r="K17" s="355"/>
    </row>
    <row r="18" spans="1:11" ht="15.5" x14ac:dyDescent="0.35">
      <c r="A18" s="361" t="s">
        <v>491</v>
      </c>
      <c r="B18" s="353">
        <v>205</v>
      </c>
      <c r="C18" s="359" t="s">
        <v>457</v>
      </c>
      <c r="D18" s="86">
        <f>J18*B18</f>
        <v>0</v>
      </c>
      <c r="E18" s="86"/>
      <c r="F18" s="92" t="s">
        <v>454</v>
      </c>
      <c r="G18" s="92"/>
      <c r="H18" s="92"/>
      <c r="I18" s="92"/>
      <c r="J18" s="27"/>
      <c r="K18" s="355" t="s">
        <v>458</v>
      </c>
    </row>
    <row r="19" spans="1:11" ht="15.5" x14ac:dyDescent="0.35">
      <c r="A19" s="361"/>
      <c r="B19" s="359"/>
      <c r="C19" s="359"/>
      <c r="D19" s="86"/>
      <c r="E19" s="86"/>
      <c r="F19" s="92"/>
      <c r="G19" s="92"/>
      <c r="H19" s="92"/>
      <c r="I19" s="92"/>
      <c r="J19" s="382"/>
      <c r="K19" s="355"/>
    </row>
    <row r="20" spans="1:11" ht="15.5" x14ac:dyDescent="0.35">
      <c r="A20" s="361" t="s">
        <v>459</v>
      </c>
      <c r="B20" s="359"/>
      <c r="C20" s="359"/>
      <c r="D20" s="28"/>
      <c r="E20" s="28"/>
      <c r="F20" s="383"/>
      <c r="G20" s="383"/>
      <c r="H20" s="383"/>
      <c r="I20" s="383"/>
      <c r="J20" s="384"/>
      <c r="K20" s="378"/>
    </row>
    <row r="21" spans="1:11" ht="15.5" x14ac:dyDescent="0.35">
      <c r="A21" s="361"/>
      <c r="B21" s="359"/>
      <c r="C21" s="359"/>
      <c r="D21" s="385" t="s">
        <v>460</v>
      </c>
      <c r="E21" s="385"/>
      <c r="F21" s="165" t="s">
        <v>461</v>
      </c>
      <c r="G21" s="359"/>
      <c r="H21" s="359"/>
      <c r="I21" s="359"/>
      <c r="J21" s="359"/>
      <c r="K21" s="355"/>
    </row>
    <row r="22" spans="1:11" ht="15.5" x14ac:dyDescent="0.35">
      <c r="A22" s="361"/>
      <c r="B22" s="359"/>
      <c r="C22" s="359"/>
      <c r="D22" s="88">
        <f>IF(D16=0,(D18-D20),IF(D18=0,(D16-D20)))</f>
        <v>0</v>
      </c>
      <c r="E22" s="386"/>
      <c r="F22" s="387" t="s">
        <v>462</v>
      </c>
      <c r="G22" s="388"/>
      <c r="H22" s="388"/>
      <c r="I22" s="388"/>
      <c r="J22" s="359"/>
      <c r="K22" s="389"/>
    </row>
    <row r="23" spans="1:11" ht="16" thickBot="1" x14ac:dyDescent="0.4">
      <c r="A23" s="354" t="s">
        <v>463</v>
      </c>
      <c r="B23" s="359"/>
      <c r="C23" s="359"/>
      <c r="D23" s="359"/>
      <c r="E23" s="359"/>
      <c r="F23" s="359"/>
      <c r="G23" s="359"/>
      <c r="H23" s="359"/>
      <c r="I23" s="359"/>
      <c r="J23" s="359"/>
      <c r="K23" s="355"/>
    </row>
    <row r="24" spans="1:11" ht="14" thickTop="1" thickBot="1" x14ac:dyDescent="0.3">
      <c r="A24" s="390"/>
      <c r="B24" s="391"/>
      <c r="C24" s="392"/>
      <c r="D24" s="368" t="s">
        <v>464</v>
      </c>
      <c r="E24" s="369"/>
      <c r="F24" s="370"/>
      <c r="G24" s="371"/>
      <c r="H24" s="372"/>
      <c r="I24" s="370"/>
      <c r="J24" s="390"/>
      <c r="K24" s="392"/>
    </row>
    <row r="25" spans="1:11" ht="13.5" thickTop="1" x14ac:dyDescent="0.3">
      <c r="A25" s="354"/>
      <c r="B25" s="165"/>
      <c r="C25" s="165"/>
      <c r="D25" s="393"/>
      <c r="E25" s="393"/>
      <c r="F25" s="165"/>
      <c r="G25" s="165"/>
      <c r="H25" s="165"/>
      <c r="I25" s="165"/>
      <c r="J25" s="165"/>
      <c r="K25" s="355"/>
    </row>
    <row r="26" spans="1:11" ht="15.5" x14ac:dyDescent="0.35">
      <c r="A26" s="394" t="s">
        <v>465</v>
      </c>
      <c r="B26" s="395"/>
      <c r="C26" s="359"/>
      <c r="D26" s="396" t="s">
        <v>466</v>
      </c>
      <c r="E26" s="396"/>
      <c r="F26" s="359"/>
      <c r="G26" s="359"/>
      <c r="H26" s="359"/>
      <c r="I26" s="359"/>
      <c r="J26" s="397" t="s">
        <v>467</v>
      </c>
      <c r="K26" s="355"/>
    </row>
    <row r="27" spans="1:11" ht="15.5" x14ac:dyDescent="0.35">
      <c r="A27" s="361" t="s">
        <v>468</v>
      </c>
      <c r="B27" s="359"/>
      <c r="C27" s="359"/>
      <c r="D27" s="398"/>
      <c r="E27" s="398"/>
      <c r="F27" s="380"/>
      <c r="G27" s="380"/>
      <c r="H27" s="380"/>
      <c r="I27" s="380"/>
      <c r="J27" s="399">
        <v>0</v>
      </c>
      <c r="K27" s="355"/>
    </row>
    <row r="28" spans="1:11" ht="15.5" x14ac:dyDescent="0.35">
      <c r="A28" s="361" t="s">
        <v>469</v>
      </c>
      <c r="B28" s="359"/>
      <c r="C28" s="359"/>
      <c r="D28" s="91">
        <f>IF(J9&gt;100000,100000,J9)</f>
        <v>0</v>
      </c>
      <c r="E28" s="91"/>
      <c r="F28" s="92" t="s">
        <v>470</v>
      </c>
      <c r="G28" s="89">
        <f>ROUND(CPI*H28,2)</f>
        <v>2.4300000000000002</v>
      </c>
      <c r="H28" s="89">
        <v>1.82</v>
      </c>
      <c r="I28" s="400" t="s">
        <v>471</v>
      </c>
      <c r="J28" s="86">
        <f>IF(J9&gt;100000,180000,IF(J9&gt;1000,J9*G28,0))</f>
        <v>0</v>
      </c>
      <c r="K28" s="355"/>
    </row>
    <row r="29" spans="1:11" ht="16" thickBot="1" x14ac:dyDescent="0.4">
      <c r="A29" s="361" t="s">
        <v>472</v>
      </c>
      <c r="B29" s="359"/>
      <c r="C29" s="359"/>
      <c r="D29" s="90">
        <f>IF(J9&gt;100000,J9-100000,0)</f>
        <v>0</v>
      </c>
      <c r="E29" s="90"/>
      <c r="F29" s="92" t="s">
        <v>470</v>
      </c>
      <c r="G29" s="89">
        <f>ROUND(CPI*H29,2)</f>
        <v>1.22</v>
      </c>
      <c r="H29" s="89">
        <v>0.91</v>
      </c>
      <c r="I29" s="400" t="s">
        <v>471</v>
      </c>
      <c r="J29" s="86">
        <f>IF(J9&lt;100000,0,(J9-100000)*G29)</f>
        <v>0</v>
      </c>
      <c r="K29" s="355"/>
    </row>
    <row r="30" spans="1:11" ht="16" thickTop="1" x14ac:dyDescent="0.35">
      <c r="A30" s="361"/>
      <c r="B30" s="359"/>
      <c r="C30" s="359"/>
      <c r="D30" s="398"/>
      <c r="E30" s="398"/>
      <c r="F30" s="92"/>
      <c r="G30" s="92"/>
      <c r="H30" s="92"/>
      <c r="I30" s="92"/>
      <c r="J30" s="401"/>
      <c r="K30" s="355"/>
    </row>
    <row r="31" spans="1:11" ht="15.5" x14ac:dyDescent="0.35">
      <c r="A31" s="361"/>
      <c r="B31" s="359"/>
      <c r="C31" s="359"/>
      <c r="D31" s="359"/>
      <c r="E31" s="359"/>
      <c r="F31" s="92" t="s">
        <v>473</v>
      </c>
      <c r="G31" s="92"/>
      <c r="H31" s="92"/>
      <c r="I31" s="92"/>
      <c r="J31" s="86">
        <f>SUM(J28:J29)</f>
        <v>0</v>
      </c>
      <c r="K31" s="355"/>
    </row>
    <row r="32" spans="1:11" ht="15.5" x14ac:dyDescent="0.35">
      <c r="A32" s="361"/>
      <c r="B32" s="359"/>
      <c r="C32" s="359"/>
      <c r="D32" s="359"/>
      <c r="E32" s="359"/>
      <c r="F32" s="359"/>
      <c r="G32" s="359"/>
      <c r="H32" s="359"/>
      <c r="I32" s="359"/>
      <c r="J32" s="359"/>
      <c r="K32" s="355"/>
    </row>
    <row r="33" spans="1:11" ht="15.5" x14ac:dyDescent="0.35">
      <c r="A33" s="361" t="s">
        <v>474</v>
      </c>
      <c r="B33" s="359"/>
      <c r="C33" s="359"/>
      <c r="D33" s="359"/>
      <c r="E33" s="359"/>
      <c r="F33" s="92" t="s">
        <v>475</v>
      </c>
      <c r="G33" s="92"/>
      <c r="H33" s="92"/>
      <c r="I33" s="92"/>
      <c r="J33" s="29"/>
      <c r="K33" s="355"/>
    </row>
    <row r="34" spans="1:11" x14ac:dyDescent="0.25">
      <c r="A34" s="354"/>
      <c r="B34" s="165"/>
      <c r="C34" s="165"/>
      <c r="D34" s="165"/>
      <c r="E34" s="165"/>
      <c r="F34" s="165"/>
      <c r="G34" s="165"/>
      <c r="H34" s="165"/>
      <c r="I34" s="165"/>
      <c r="J34" s="165"/>
      <c r="K34" s="355"/>
    </row>
    <row r="35" spans="1:11" ht="13" x14ac:dyDescent="0.3">
      <c r="A35" s="354"/>
      <c r="B35" s="165"/>
      <c r="C35" s="402" t="s">
        <v>476</v>
      </c>
      <c r="D35" s="131"/>
      <c r="E35" s="131"/>
      <c r="F35" s="131"/>
      <c r="G35" s="131"/>
      <c r="H35" s="131"/>
      <c r="I35" s="131"/>
      <c r="J35" s="132"/>
      <c r="K35" s="355"/>
    </row>
    <row r="36" spans="1:11" ht="15.5" x14ac:dyDescent="0.35">
      <c r="A36" s="361"/>
      <c r="B36" s="359"/>
      <c r="C36" s="362"/>
      <c r="D36" s="403"/>
      <c r="E36" s="403"/>
      <c r="F36" s="400"/>
      <c r="G36" s="400"/>
      <c r="H36" s="400"/>
      <c r="I36" s="400"/>
      <c r="J36" s="359"/>
      <c r="K36" s="355"/>
    </row>
    <row r="37" spans="1:11" ht="15.5" x14ac:dyDescent="0.35">
      <c r="A37" s="361"/>
      <c r="B37" s="359"/>
      <c r="C37" s="359"/>
      <c r="D37" s="93">
        <f>J31</f>
        <v>0</v>
      </c>
      <c r="E37" s="93" t="s">
        <v>244</v>
      </c>
      <c r="F37" s="93">
        <f>IF(J9&lt;1000,0,J33)</f>
        <v>0</v>
      </c>
      <c r="G37" s="93"/>
      <c r="H37" s="93"/>
      <c r="I37" s="93"/>
      <c r="J37" s="404"/>
      <c r="K37" s="355"/>
    </row>
    <row r="38" spans="1:11" ht="15.5" x14ac:dyDescent="0.35">
      <c r="A38" s="361"/>
      <c r="B38" s="359"/>
      <c r="C38" s="359"/>
      <c r="D38" s="359"/>
      <c r="E38" s="359"/>
      <c r="F38" s="359"/>
      <c r="G38" s="359"/>
      <c r="H38" s="359"/>
      <c r="I38" s="359"/>
      <c r="J38" s="359"/>
      <c r="K38" s="355"/>
    </row>
    <row r="39" spans="1:11" ht="15.5" x14ac:dyDescent="0.35">
      <c r="A39" s="361" t="s">
        <v>477</v>
      </c>
      <c r="B39" s="359"/>
      <c r="C39" s="358"/>
      <c r="D39" s="86">
        <f>SUM(D37:F37)</f>
        <v>0</v>
      </c>
      <c r="E39" s="86"/>
      <c r="F39" s="92" t="s">
        <v>478</v>
      </c>
      <c r="G39" s="92"/>
      <c r="H39" s="92"/>
      <c r="I39" s="92"/>
      <c r="J39" s="94">
        <f>IF(D39&gt;1000000,ROUNDUP(D39,-4),IF(D39&gt;100000,ROUNDUP(D39,-3),IF(D39&gt;10000,ROUNDUP(D39,-3),IF(D39&gt;1000,ROUNDUP(D39,-2),ROUNDUP(D39,-2)))))</f>
        <v>0</v>
      </c>
      <c r="K39" s="355"/>
    </row>
    <row r="40" spans="1:11" ht="13" thickBot="1" x14ac:dyDescent="0.3">
      <c r="A40" s="365"/>
      <c r="B40" s="366"/>
      <c r="C40" s="366"/>
      <c r="D40" s="366"/>
      <c r="E40" s="366"/>
      <c r="F40" s="366"/>
      <c r="G40" s="366"/>
      <c r="H40" s="366"/>
      <c r="I40" s="366"/>
      <c r="J40" s="366"/>
      <c r="K40" s="367"/>
    </row>
    <row r="41" spans="1:11" ht="14" thickTop="1" thickBot="1" x14ac:dyDescent="0.3">
      <c r="A41" s="390"/>
      <c r="B41" s="391"/>
      <c r="C41" s="391"/>
      <c r="D41" s="368" t="s">
        <v>487</v>
      </c>
      <c r="E41" s="369"/>
      <c r="F41" s="370"/>
      <c r="G41" s="371"/>
      <c r="H41" s="372"/>
      <c r="I41" s="370"/>
      <c r="J41" s="391"/>
      <c r="K41" s="392"/>
    </row>
    <row r="42" spans="1:11" ht="16" thickTop="1" x14ac:dyDescent="0.35">
      <c r="A42" s="405" t="s">
        <v>479</v>
      </c>
      <c r="B42" s="406"/>
      <c r="C42" s="359"/>
      <c r="D42" s="406"/>
      <c r="E42" s="406" t="s">
        <v>480</v>
      </c>
      <c r="F42" s="173"/>
      <c r="G42" s="173"/>
      <c r="H42" s="173"/>
      <c r="I42" s="173"/>
      <c r="J42" s="173"/>
      <c r="K42" s="407"/>
    </row>
    <row r="43" spans="1:11" ht="15.5" x14ac:dyDescent="0.35">
      <c r="A43" s="408" t="s">
        <v>481</v>
      </c>
      <c r="B43" s="409"/>
      <c r="C43" s="410"/>
      <c r="D43" s="349">
        <v>9971</v>
      </c>
      <c r="E43" s="349"/>
      <c r="F43" s="411"/>
      <c r="G43" s="409"/>
      <c r="H43" s="409"/>
      <c r="I43" s="409"/>
      <c r="J43" s="359"/>
      <c r="K43" s="355"/>
    </row>
    <row r="44" spans="1:11" ht="15.5" x14ac:dyDescent="0.35">
      <c r="A44" s="408" t="s">
        <v>482</v>
      </c>
      <c r="B44" s="409"/>
      <c r="C44" s="409"/>
      <c r="D44" s="349">
        <v>9971</v>
      </c>
      <c r="E44" s="349" t="s">
        <v>244</v>
      </c>
      <c r="F44" s="350">
        <v>0.19589999999999999</v>
      </c>
      <c r="G44" s="409" t="s">
        <v>207</v>
      </c>
      <c r="H44" s="409"/>
      <c r="I44" s="409"/>
      <c r="J44" s="412">
        <v>10000</v>
      </c>
      <c r="K44" s="355" t="s">
        <v>483</v>
      </c>
    </row>
    <row r="45" spans="1:11" ht="15.5" x14ac:dyDescent="0.35">
      <c r="A45" s="408" t="s">
        <v>484</v>
      </c>
      <c r="B45" s="409"/>
      <c r="C45" s="409"/>
      <c r="D45" s="351">
        <v>27602</v>
      </c>
      <c r="E45" s="409" t="s">
        <v>244</v>
      </c>
      <c r="F45" s="352">
        <v>5.5599999999999997E-2</v>
      </c>
      <c r="G45" s="409" t="s">
        <v>207</v>
      </c>
      <c r="H45" s="409"/>
      <c r="I45" s="409"/>
      <c r="J45" s="412">
        <v>100000</v>
      </c>
      <c r="K45" s="355" t="s">
        <v>483</v>
      </c>
    </row>
    <row r="46" spans="1:11" ht="15.5" x14ac:dyDescent="0.35">
      <c r="A46" s="408" t="s">
        <v>485</v>
      </c>
      <c r="B46" s="409"/>
      <c r="C46" s="409"/>
      <c r="D46" s="351">
        <v>49842</v>
      </c>
      <c r="E46" s="409" t="s">
        <v>244</v>
      </c>
      <c r="F46" s="352">
        <v>4.1099999999999998E-2</v>
      </c>
      <c r="G46" s="409" t="s">
        <v>207</v>
      </c>
      <c r="H46" s="409"/>
      <c r="I46" s="409"/>
      <c r="J46" s="412">
        <v>500000</v>
      </c>
      <c r="K46" s="355" t="s">
        <v>483</v>
      </c>
    </row>
    <row r="47" spans="1:11" ht="15.5" x14ac:dyDescent="0.35">
      <c r="A47" s="408" t="s">
        <v>486</v>
      </c>
      <c r="B47" s="409"/>
      <c r="C47" s="409"/>
      <c r="D47" s="351">
        <v>70392</v>
      </c>
      <c r="E47" s="409" t="s">
        <v>244</v>
      </c>
      <c r="F47" s="352">
        <v>1.7500000000000002E-2</v>
      </c>
      <c r="G47" s="409" t="s">
        <v>207</v>
      </c>
      <c r="H47" s="409"/>
      <c r="I47" s="409"/>
      <c r="J47" s="412">
        <v>1000000</v>
      </c>
      <c r="K47" s="355" t="s">
        <v>483</v>
      </c>
    </row>
    <row r="48" spans="1:11" ht="16" thickBot="1" x14ac:dyDescent="0.4">
      <c r="A48" s="413"/>
      <c r="B48" s="414"/>
      <c r="C48" s="414"/>
      <c r="D48" s="414"/>
      <c r="E48" s="414"/>
      <c r="F48" s="415"/>
      <c r="G48" s="415"/>
      <c r="H48" s="415"/>
      <c r="I48" s="415"/>
      <c r="J48" s="366"/>
      <c r="K48" s="367"/>
    </row>
    <row r="49" spans="1:10" s="118" customFormat="1" ht="13" thickTop="1" x14ac:dyDescent="0.25">
      <c r="A49" s="114" t="s">
        <v>489</v>
      </c>
      <c r="B49" s="101"/>
      <c r="C49" s="101"/>
      <c r="D49" s="101"/>
      <c r="E49" s="101"/>
      <c r="F49" s="101"/>
      <c r="G49" s="101"/>
      <c r="H49" s="101"/>
      <c r="I49" s="101"/>
    </row>
    <row r="50" spans="1:10" s="118" customFormat="1" x14ac:dyDescent="0.25">
      <c r="A50" s="114" t="s">
        <v>490</v>
      </c>
      <c r="B50" s="114"/>
      <c r="C50" s="114"/>
      <c r="D50" s="114"/>
      <c r="E50" s="114"/>
      <c r="F50" s="114"/>
      <c r="G50" s="114"/>
      <c r="H50" s="114"/>
      <c r="I50" s="101"/>
    </row>
    <row r="51" spans="1:10" s="118" customFormat="1" ht="13" thickBot="1" x14ac:dyDescent="0.3">
      <c r="A51" s="95" t="s">
        <v>568</v>
      </c>
      <c r="B51" s="114"/>
      <c r="C51" s="114"/>
      <c r="D51" s="114"/>
      <c r="E51" s="114"/>
      <c r="F51" s="114"/>
      <c r="G51" s="114"/>
      <c r="H51" s="114"/>
      <c r="I51" s="101"/>
    </row>
    <row r="52" spans="1:10" ht="13" thickBot="1" x14ac:dyDescent="0.3">
      <c r="A52" s="95" t="s">
        <v>571</v>
      </c>
      <c r="B52" s="95"/>
      <c r="C52" s="95"/>
      <c r="D52" s="95"/>
      <c r="E52" s="95"/>
      <c r="F52" s="95"/>
      <c r="G52" s="95"/>
      <c r="H52" s="134"/>
      <c r="I52" s="115">
        <v>507</v>
      </c>
      <c r="J52" s="8"/>
    </row>
    <row r="53" spans="1:10" ht="13" thickBot="1" x14ac:dyDescent="0.3">
      <c r="A53" s="601" t="s">
        <v>569</v>
      </c>
      <c r="B53" s="601"/>
      <c r="C53" s="601"/>
      <c r="D53" s="601"/>
      <c r="E53" s="601"/>
      <c r="F53" s="601"/>
      <c r="G53" s="601"/>
      <c r="H53" s="416"/>
      <c r="I53" s="115">
        <v>551</v>
      </c>
      <c r="J53" s="30"/>
    </row>
    <row r="54" spans="1:10" ht="29.25" customHeight="1" thickBot="1" x14ac:dyDescent="0.3">
      <c r="A54" s="602" t="s">
        <v>570</v>
      </c>
      <c r="B54" s="603"/>
      <c r="C54" s="603"/>
      <c r="D54" s="603"/>
      <c r="E54" s="603"/>
      <c r="F54" s="603"/>
      <c r="G54" s="116"/>
      <c r="H54" s="116"/>
      <c r="I54" s="117">
        <v>844</v>
      </c>
      <c r="J54" s="30"/>
    </row>
    <row r="55" spans="1:10" x14ac:dyDescent="0.25">
      <c r="A55" s="116"/>
      <c r="B55" s="116"/>
      <c r="C55" s="116"/>
      <c r="D55" s="116"/>
      <c r="E55" s="116"/>
      <c r="F55" s="116"/>
      <c r="G55" s="116"/>
      <c r="H55" s="116"/>
      <c r="I55" s="116"/>
    </row>
    <row r="56" spans="1:10" x14ac:dyDescent="0.25">
      <c r="A56" s="116"/>
      <c r="B56" s="116"/>
      <c r="C56" s="116"/>
      <c r="D56" s="116"/>
      <c r="E56" s="116"/>
      <c r="F56" s="116"/>
      <c r="G56" s="116"/>
      <c r="H56" s="116"/>
      <c r="I56" s="116"/>
    </row>
    <row r="57" spans="1:10" x14ac:dyDescent="0.25">
      <c r="A57" s="116"/>
      <c r="B57" s="116"/>
      <c r="C57" s="116"/>
      <c r="D57" s="116"/>
      <c r="E57" s="116"/>
      <c r="F57" s="116"/>
      <c r="G57" s="116"/>
    </row>
    <row r="58" spans="1:10" x14ac:dyDescent="0.25">
      <c r="A58" s="116"/>
      <c r="B58" s="116"/>
      <c r="C58" s="116"/>
      <c r="D58" s="116"/>
      <c r="E58" s="116"/>
      <c r="F58" s="116"/>
      <c r="G58" s="116"/>
    </row>
    <row r="59" spans="1:10" x14ac:dyDescent="0.25">
      <c r="A59" s="116"/>
      <c r="B59" s="116"/>
      <c r="C59" s="116"/>
      <c r="D59" s="116"/>
      <c r="E59" s="116"/>
      <c r="F59" s="116"/>
      <c r="G59" s="116"/>
    </row>
  </sheetData>
  <sheetProtection algorithmName="SHA-512" hashValue="PlY0FKD0hsLKiGz2Gc6HrVxMYaeyjayhlAD8pdii3lkFiAbNzhTjvWbNhHDTKKLOrUAnbDRLzXKp5bvUKaG1NA==" saltValue="Q4V+AHVrlUgUUd13FEW/Cg==" spinCount="100000" sheet="1" insertRows="0" selectLockedCells="1"/>
  <mergeCells count="3">
    <mergeCell ref="A1:K1"/>
    <mergeCell ref="A53:G53"/>
    <mergeCell ref="A54:F54"/>
  </mergeCells>
  <dataValidations count="1">
    <dataValidation type="list" allowBlank="1" showInputMessage="1" showErrorMessage="1" sqref="J52:J54" xr:uid="{00000000-0002-0000-0300-000000000000}">
      <formula1>"Yes,No"</formula1>
    </dataValidation>
  </dataValidations>
  <printOptions horizontalCentered="1"/>
  <pageMargins left="0.25" right="0.25" top="0.25" bottom="0.25" header="0.3" footer="0.3"/>
  <pageSetup scale="85" orientation="portrait" r:id="rId1"/>
  <headerFooter>
    <oddFooter>&amp;LFees Effective 07/01/2023&amp;R&amp;P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173"/>
  <sheetViews>
    <sheetView zoomScaleNormal="100" zoomScaleSheetLayoutView="130" workbookViewId="0">
      <selection activeCell="B15" sqref="B15"/>
    </sheetView>
  </sheetViews>
  <sheetFormatPr defaultColWidth="9.08984375" defaultRowHeight="12.5" x14ac:dyDescent="0.25"/>
  <cols>
    <col min="1" max="1" width="48" style="121" customWidth="1"/>
    <col min="2" max="2" width="13.36328125" style="205" bestFit="1" customWidth="1"/>
    <col min="3" max="3" width="12.54296875" style="206" customWidth="1"/>
    <col min="4" max="4" width="12.54296875" style="206" hidden="1" customWidth="1"/>
    <col min="5" max="5" width="7.453125" style="206" customWidth="1"/>
    <col min="6" max="6" width="15.08984375" style="121" customWidth="1"/>
    <col min="7" max="7" width="14.08984375" style="121" customWidth="1"/>
    <col min="8" max="16384" width="9.08984375" style="121"/>
  </cols>
  <sheetData>
    <row r="1" spans="1:8" ht="13" x14ac:dyDescent="0.3">
      <c r="A1" s="118"/>
      <c r="B1" s="119"/>
      <c r="C1" s="120"/>
      <c r="D1" s="120"/>
      <c r="E1" s="120"/>
      <c r="F1" s="118"/>
      <c r="G1" s="118"/>
      <c r="H1" s="118"/>
    </row>
    <row r="2" spans="1:8" ht="13" x14ac:dyDescent="0.3">
      <c r="A2" s="118"/>
      <c r="B2" s="119"/>
      <c r="C2" s="120"/>
      <c r="D2" s="120"/>
      <c r="E2" s="120"/>
      <c r="F2" s="118"/>
      <c r="G2" s="118"/>
      <c r="H2" s="118"/>
    </row>
    <row r="3" spans="1:8" x14ac:dyDescent="0.25">
      <c r="A3" s="118"/>
      <c r="B3" s="122"/>
      <c r="C3" s="120"/>
      <c r="D3" s="120"/>
      <c r="E3" s="120"/>
      <c r="F3" s="118"/>
      <c r="G3" s="118"/>
      <c r="H3" s="118"/>
    </row>
    <row r="4" spans="1:8" x14ac:dyDescent="0.25">
      <c r="A4" s="118"/>
      <c r="B4" s="122"/>
      <c r="C4" s="120"/>
      <c r="D4" s="120"/>
      <c r="E4" s="120"/>
      <c r="F4" s="118"/>
      <c r="G4" s="118"/>
      <c r="H4" s="118"/>
    </row>
    <row r="5" spans="1:8" x14ac:dyDescent="0.25">
      <c r="A5" s="118"/>
      <c r="B5" s="122"/>
      <c r="C5" s="120"/>
      <c r="D5" s="120"/>
      <c r="E5" s="120"/>
      <c r="F5" s="118"/>
      <c r="G5" s="118"/>
      <c r="H5" s="118"/>
    </row>
    <row r="6" spans="1:8" x14ac:dyDescent="0.25">
      <c r="A6" s="118"/>
      <c r="B6" s="122"/>
      <c r="C6" s="120"/>
      <c r="D6" s="120"/>
      <c r="E6" s="120"/>
      <c r="F6" s="118"/>
      <c r="G6" s="118"/>
      <c r="H6" s="118"/>
    </row>
    <row r="7" spans="1:8" x14ac:dyDescent="0.25">
      <c r="A7" s="118"/>
      <c r="B7" s="122"/>
      <c r="C7" s="120"/>
      <c r="D7" s="120"/>
      <c r="E7" s="120"/>
      <c r="F7" s="118"/>
      <c r="G7" s="118"/>
      <c r="H7" s="118"/>
    </row>
    <row r="8" spans="1:8" x14ac:dyDescent="0.25">
      <c r="A8" s="118"/>
      <c r="B8" s="122"/>
      <c r="C8" s="120"/>
      <c r="D8" s="120"/>
      <c r="E8" s="120"/>
      <c r="F8" s="118"/>
      <c r="G8" s="118"/>
      <c r="H8" s="118"/>
    </row>
    <row r="9" spans="1:8" x14ac:dyDescent="0.25">
      <c r="A9" s="118"/>
      <c r="B9" s="122"/>
      <c r="C9" s="120"/>
      <c r="D9" s="120"/>
      <c r="E9" s="120"/>
      <c r="F9" s="118"/>
      <c r="G9" s="118"/>
      <c r="H9" s="118"/>
    </row>
    <row r="10" spans="1:8" x14ac:dyDescent="0.25">
      <c r="A10" s="118"/>
      <c r="B10" s="122"/>
      <c r="C10" s="120"/>
      <c r="D10" s="120"/>
      <c r="E10" s="120"/>
      <c r="F10" s="118"/>
      <c r="G10" s="118"/>
      <c r="H10" s="118"/>
    </row>
    <row r="11" spans="1:8" ht="13" thickBot="1" x14ac:dyDescent="0.3">
      <c r="A11" s="118"/>
      <c r="B11" s="122"/>
      <c r="C11" s="120"/>
      <c r="D11" s="120"/>
      <c r="E11" s="120"/>
      <c r="F11" s="118"/>
      <c r="G11" s="118"/>
      <c r="H11" s="118"/>
    </row>
    <row r="12" spans="1:8" ht="13.5" thickBot="1" x14ac:dyDescent="0.35">
      <c r="A12" s="123" t="s">
        <v>0</v>
      </c>
      <c r="B12" s="124" t="s">
        <v>1</v>
      </c>
      <c r="C12" s="604" t="s">
        <v>2</v>
      </c>
      <c r="D12" s="605"/>
      <c r="E12" s="605"/>
      <c r="F12" s="606"/>
      <c r="G12" s="123" t="s">
        <v>3</v>
      </c>
      <c r="H12" s="118"/>
    </row>
    <row r="13" spans="1:8" x14ac:dyDescent="0.25">
      <c r="A13" s="125"/>
      <c r="B13" s="126"/>
      <c r="C13" s="570"/>
      <c r="D13" s="571"/>
      <c r="E13" s="572"/>
      <c r="F13" s="96"/>
      <c r="G13" s="127"/>
      <c r="H13" s="118"/>
    </row>
    <row r="14" spans="1:8" x14ac:dyDescent="0.25">
      <c r="A14" s="128" t="s">
        <v>150</v>
      </c>
      <c r="B14" s="129"/>
      <c r="C14" s="130"/>
      <c r="D14" s="141"/>
      <c r="E14" s="131"/>
      <c r="F14" s="132"/>
      <c r="G14" s="66"/>
      <c r="H14" s="118"/>
    </row>
    <row r="15" spans="1:8" x14ac:dyDescent="0.25">
      <c r="A15" s="128" t="s">
        <v>151</v>
      </c>
      <c r="B15" s="4"/>
      <c r="C15" s="60">
        <f t="shared" ref="C15:C27" si="0">ROUND(D15*$B$171,2)</f>
        <v>108.3</v>
      </c>
      <c r="D15" s="58">
        <v>90</v>
      </c>
      <c r="E15" s="131" t="s">
        <v>58</v>
      </c>
      <c r="F15" s="133"/>
      <c r="G15" s="66">
        <f>B15*C15</f>
        <v>0</v>
      </c>
      <c r="H15" s="118"/>
    </row>
    <row r="16" spans="1:8" x14ac:dyDescent="0.25">
      <c r="A16" s="128" t="s">
        <v>152</v>
      </c>
      <c r="B16" s="4"/>
      <c r="C16" s="60">
        <f t="shared" si="0"/>
        <v>119.13</v>
      </c>
      <c r="D16" s="58">
        <v>99</v>
      </c>
      <c r="E16" s="131" t="s">
        <v>58</v>
      </c>
      <c r="F16" s="133"/>
      <c r="G16" s="66">
        <f t="shared" ref="G16:G46" si="1">B16*C16</f>
        <v>0</v>
      </c>
      <c r="H16" s="118"/>
    </row>
    <row r="17" spans="1:10" x14ac:dyDescent="0.25">
      <c r="A17" s="128" t="s">
        <v>153</v>
      </c>
      <c r="B17" s="4"/>
      <c r="C17" s="60">
        <f t="shared" si="0"/>
        <v>161.25</v>
      </c>
      <c r="D17" s="58">
        <v>134</v>
      </c>
      <c r="E17" s="131" t="s">
        <v>58</v>
      </c>
      <c r="F17" s="133"/>
      <c r="G17" s="66">
        <f t="shared" si="1"/>
        <v>0</v>
      </c>
      <c r="H17" s="118"/>
    </row>
    <row r="18" spans="1:10" x14ac:dyDescent="0.25">
      <c r="A18" s="128" t="s">
        <v>154</v>
      </c>
      <c r="B18" s="4"/>
      <c r="C18" s="60">
        <f t="shared" si="0"/>
        <v>179.3</v>
      </c>
      <c r="D18" s="58">
        <v>149</v>
      </c>
      <c r="E18" s="131" t="s">
        <v>58</v>
      </c>
      <c r="F18" s="133"/>
      <c r="G18" s="66">
        <f t="shared" si="1"/>
        <v>0</v>
      </c>
      <c r="H18" s="118"/>
    </row>
    <row r="19" spans="1:10" x14ac:dyDescent="0.25">
      <c r="A19" s="128" t="s">
        <v>155</v>
      </c>
      <c r="B19" s="4"/>
      <c r="C19" s="60">
        <f t="shared" si="0"/>
        <v>197.35</v>
      </c>
      <c r="D19" s="58">
        <v>164</v>
      </c>
      <c r="E19" s="131" t="s">
        <v>58</v>
      </c>
      <c r="F19" s="133"/>
      <c r="G19" s="66">
        <f t="shared" si="1"/>
        <v>0</v>
      </c>
      <c r="H19" s="118"/>
    </row>
    <row r="20" spans="1:10" x14ac:dyDescent="0.25">
      <c r="A20" s="128" t="s">
        <v>156</v>
      </c>
      <c r="B20" s="4"/>
      <c r="C20" s="60">
        <f t="shared" si="0"/>
        <v>251.51</v>
      </c>
      <c r="D20" s="58">
        <v>209</v>
      </c>
      <c r="E20" s="131" t="s">
        <v>58</v>
      </c>
      <c r="F20" s="133"/>
      <c r="G20" s="66">
        <f t="shared" si="1"/>
        <v>0</v>
      </c>
      <c r="H20" s="118"/>
      <c r="J20" s="134"/>
    </row>
    <row r="21" spans="1:10" x14ac:dyDescent="0.25">
      <c r="A21" s="128" t="s">
        <v>157</v>
      </c>
      <c r="B21" s="4"/>
      <c r="C21" s="60">
        <f t="shared" si="0"/>
        <v>332.13</v>
      </c>
      <c r="D21" s="58">
        <v>276</v>
      </c>
      <c r="E21" s="131" t="s">
        <v>58</v>
      </c>
      <c r="F21" s="133"/>
      <c r="G21" s="66">
        <f t="shared" si="1"/>
        <v>0</v>
      </c>
      <c r="H21" s="118"/>
    </row>
    <row r="22" spans="1:10" x14ac:dyDescent="0.25">
      <c r="A22" s="128" t="s">
        <v>158</v>
      </c>
      <c r="B22" s="4"/>
      <c r="C22" s="60">
        <f t="shared" si="0"/>
        <v>456.08</v>
      </c>
      <c r="D22" s="58">
        <v>379</v>
      </c>
      <c r="E22" s="131" t="s">
        <v>58</v>
      </c>
      <c r="F22" s="133"/>
      <c r="G22" s="66">
        <f t="shared" si="1"/>
        <v>0</v>
      </c>
      <c r="H22" s="118"/>
    </row>
    <row r="23" spans="1:10" customFormat="1" x14ac:dyDescent="0.25">
      <c r="A23" s="506" t="s">
        <v>537</v>
      </c>
      <c r="B23" s="507"/>
      <c r="C23" s="60">
        <f t="shared" si="0"/>
        <v>587.25</v>
      </c>
      <c r="D23" s="58">
        <v>488</v>
      </c>
      <c r="E23" s="508" t="s">
        <v>58</v>
      </c>
      <c r="F23" s="509"/>
      <c r="G23" s="510">
        <f t="shared" si="1"/>
        <v>0</v>
      </c>
      <c r="H23" s="511"/>
    </row>
    <row r="24" spans="1:10" customFormat="1" x14ac:dyDescent="0.25">
      <c r="A24" s="506" t="s">
        <v>538</v>
      </c>
      <c r="B24" s="507"/>
      <c r="C24" s="60">
        <f t="shared" si="0"/>
        <v>717.22</v>
      </c>
      <c r="D24" s="58">
        <v>596</v>
      </c>
      <c r="E24" s="508" t="s">
        <v>58</v>
      </c>
      <c r="F24" s="509"/>
      <c r="G24" s="510">
        <f t="shared" si="1"/>
        <v>0</v>
      </c>
      <c r="H24" s="511"/>
    </row>
    <row r="25" spans="1:10" customFormat="1" x14ac:dyDescent="0.25">
      <c r="A25" s="506" t="s">
        <v>539</v>
      </c>
      <c r="B25" s="507"/>
      <c r="C25" s="60">
        <f t="shared" si="0"/>
        <v>799.05</v>
      </c>
      <c r="D25" s="58">
        <v>664</v>
      </c>
      <c r="E25" s="508" t="s">
        <v>58</v>
      </c>
      <c r="F25" s="509"/>
      <c r="G25" s="510">
        <f t="shared" si="1"/>
        <v>0</v>
      </c>
      <c r="H25" s="511"/>
    </row>
    <row r="26" spans="1:10" customFormat="1" x14ac:dyDescent="0.25">
      <c r="A26" s="506" t="s">
        <v>540</v>
      </c>
      <c r="B26" s="507"/>
      <c r="C26" s="60">
        <f t="shared" si="0"/>
        <v>1101.0999999999999</v>
      </c>
      <c r="D26" s="58">
        <v>915</v>
      </c>
      <c r="E26" s="508" t="s">
        <v>58</v>
      </c>
      <c r="F26" s="509"/>
      <c r="G26" s="510">
        <f t="shared" si="1"/>
        <v>0</v>
      </c>
      <c r="H26" s="511"/>
    </row>
    <row r="27" spans="1:10" customFormat="1" x14ac:dyDescent="0.25">
      <c r="A27" s="506" t="s">
        <v>541</v>
      </c>
      <c r="B27" s="507"/>
      <c r="C27" s="60">
        <f t="shared" si="0"/>
        <v>1480.16</v>
      </c>
      <c r="D27" s="58">
        <v>1230</v>
      </c>
      <c r="E27" s="508" t="s">
        <v>58</v>
      </c>
      <c r="F27" s="509"/>
      <c r="G27" s="510">
        <f t="shared" si="1"/>
        <v>0</v>
      </c>
      <c r="H27" s="511"/>
    </row>
    <row r="28" spans="1:10" x14ac:dyDescent="0.25">
      <c r="A28" s="128"/>
      <c r="B28" s="4"/>
      <c r="C28" s="60">
        <v>0</v>
      </c>
      <c r="D28" s="58"/>
      <c r="E28" s="131" t="s">
        <v>58</v>
      </c>
      <c r="F28" s="133"/>
      <c r="G28" s="66">
        <f>B28*C28</f>
        <v>0</v>
      </c>
      <c r="H28" s="118"/>
    </row>
    <row r="29" spans="1:10" x14ac:dyDescent="0.25">
      <c r="A29" s="128"/>
      <c r="B29" s="63"/>
      <c r="C29" s="60"/>
      <c r="D29" s="58"/>
      <c r="E29" s="131"/>
      <c r="F29" s="133"/>
      <c r="G29" s="66"/>
      <c r="H29" s="118"/>
    </row>
    <row r="30" spans="1:10" customFormat="1" x14ac:dyDescent="0.25">
      <c r="A30" s="506" t="s">
        <v>542</v>
      </c>
      <c r="B30" s="512"/>
      <c r="C30" s="60"/>
      <c r="D30" s="237"/>
      <c r="E30" s="508"/>
      <c r="F30" s="513"/>
      <c r="G30" s="510"/>
      <c r="H30" s="511"/>
    </row>
    <row r="31" spans="1:10" customFormat="1" x14ac:dyDescent="0.25">
      <c r="A31" s="506" t="s">
        <v>151</v>
      </c>
      <c r="B31" s="507"/>
      <c r="C31" s="60">
        <f t="shared" ref="C31:C44" si="2">ROUND(D31*$B$171,2)</f>
        <v>113.12</v>
      </c>
      <c r="D31" s="58">
        <v>94</v>
      </c>
      <c r="E31" s="508" t="s">
        <v>58</v>
      </c>
      <c r="F31" s="509"/>
      <c r="G31" s="510">
        <f t="shared" ref="G31:G38" si="3">B31*C31</f>
        <v>0</v>
      </c>
      <c r="H31" s="511"/>
    </row>
    <row r="32" spans="1:10" customFormat="1" x14ac:dyDescent="0.25">
      <c r="A32" s="506" t="s">
        <v>152</v>
      </c>
      <c r="B32" s="507"/>
      <c r="C32" s="60">
        <f t="shared" si="2"/>
        <v>123.95</v>
      </c>
      <c r="D32" s="58">
        <v>103</v>
      </c>
      <c r="E32" s="508" t="s">
        <v>58</v>
      </c>
      <c r="F32" s="509"/>
      <c r="G32" s="510">
        <f t="shared" si="3"/>
        <v>0</v>
      </c>
      <c r="H32" s="511"/>
    </row>
    <row r="33" spans="1:8" customFormat="1" x14ac:dyDescent="0.25">
      <c r="A33" s="506" t="s">
        <v>153</v>
      </c>
      <c r="B33" s="507"/>
      <c r="C33" s="60">
        <f t="shared" si="2"/>
        <v>168.47</v>
      </c>
      <c r="D33" s="58">
        <v>140</v>
      </c>
      <c r="E33" s="508" t="s">
        <v>58</v>
      </c>
      <c r="F33" s="509"/>
      <c r="G33" s="510">
        <f t="shared" si="3"/>
        <v>0</v>
      </c>
      <c r="H33" s="511"/>
    </row>
    <row r="34" spans="1:8" customFormat="1" x14ac:dyDescent="0.25">
      <c r="A34" s="506" t="s">
        <v>154</v>
      </c>
      <c r="B34" s="507"/>
      <c r="C34" s="60">
        <f t="shared" si="2"/>
        <v>186.52</v>
      </c>
      <c r="D34" s="58">
        <v>155</v>
      </c>
      <c r="E34" s="508" t="s">
        <v>58</v>
      </c>
      <c r="F34" s="509"/>
      <c r="G34" s="510">
        <f t="shared" si="3"/>
        <v>0</v>
      </c>
      <c r="H34" s="511"/>
    </row>
    <row r="35" spans="1:8" customFormat="1" x14ac:dyDescent="0.25">
      <c r="A35" s="506" t="s">
        <v>155</v>
      </c>
      <c r="B35" s="507"/>
      <c r="C35" s="60">
        <f t="shared" si="2"/>
        <v>205.78</v>
      </c>
      <c r="D35" s="58">
        <v>171</v>
      </c>
      <c r="E35" s="508" t="s">
        <v>58</v>
      </c>
      <c r="F35" s="509"/>
      <c r="G35" s="510">
        <f t="shared" si="3"/>
        <v>0</v>
      </c>
      <c r="H35" s="511"/>
    </row>
    <row r="36" spans="1:8" customFormat="1" x14ac:dyDescent="0.25">
      <c r="A36" s="506" t="s">
        <v>156</v>
      </c>
      <c r="B36" s="507"/>
      <c r="C36" s="60">
        <f t="shared" si="2"/>
        <v>262.33999999999997</v>
      </c>
      <c r="D36" s="58">
        <v>218</v>
      </c>
      <c r="E36" s="508" t="s">
        <v>58</v>
      </c>
      <c r="F36" s="509"/>
      <c r="G36" s="510">
        <f t="shared" si="3"/>
        <v>0</v>
      </c>
      <c r="H36" s="511"/>
    </row>
    <row r="37" spans="1:8" customFormat="1" x14ac:dyDescent="0.25">
      <c r="A37" s="506" t="s">
        <v>157</v>
      </c>
      <c r="B37" s="507"/>
      <c r="C37" s="60">
        <f t="shared" si="2"/>
        <v>348.98</v>
      </c>
      <c r="D37" s="58">
        <v>290</v>
      </c>
      <c r="E37" s="508" t="s">
        <v>58</v>
      </c>
      <c r="F37" s="509"/>
      <c r="G37" s="510">
        <f t="shared" si="3"/>
        <v>0</v>
      </c>
      <c r="H37" s="511"/>
    </row>
    <row r="38" spans="1:8" customFormat="1" x14ac:dyDescent="0.25">
      <c r="A38" s="506" t="s">
        <v>158</v>
      </c>
      <c r="B38" s="507"/>
      <c r="C38" s="60">
        <f t="shared" si="2"/>
        <v>475.34</v>
      </c>
      <c r="D38" s="58">
        <v>395</v>
      </c>
      <c r="E38" s="508" t="s">
        <v>58</v>
      </c>
      <c r="F38" s="509"/>
      <c r="G38" s="510">
        <f t="shared" si="3"/>
        <v>0</v>
      </c>
      <c r="H38" s="511"/>
    </row>
    <row r="39" spans="1:8" customFormat="1" x14ac:dyDescent="0.25">
      <c r="A39" s="506" t="s">
        <v>537</v>
      </c>
      <c r="B39" s="507"/>
      <c r="C39" s="60">
        <f t="shared" si="2"/>
        <v>611.32000000000005</v>
      </c>
      <c r="D39" s="58">
        <v>508</v>
      </c>
      <c r="E39" s="508" t="s">
        <v>58</v>
      </c>
      <c r="F39" s="509"/>
      <c r="G39" s="510">
        <f t="shared" ref="G39:G43" si="4">B39*C39</f>
        <v>0</v>
      </c>
      <c r="H39" s="511"/>
    </row>
    <row r="40" spans="1:8" customFormat="1" x14ac:dyDescent="0.25">
      <c r="A40" s="506" t="s">
        <v>538</v>
      </c>
      <c r="B40" s="507"/>
      <c r="C40" s="60">
        <f t="shared" si="2"/>
        <v>679.91</v>
      </c>
      <c r="D40" s="58">
        <v>565</v>
      </c>
      <c r="E40" s="508" t="s">
        <v>58</v>
      </c>
      <c r="F40" s="509"/>
      <c r="G40" s="510">
        <f t="shared" si="4"/>
        <v>0</v>
      </c>
      <c r="H40" s="511"/>
    </row>
    <row r="41" spans="1:8" customFormat="1" x14ac:dyDescent="0.25">
      <c r="A41" s="506" t="s">
        <v>539</v>
      </c>
      <c r="B41" s="507"/>
      <c r="C41" s="60">
        <f t="shared" si="2"/>
        <v>747.3</v>
      </c>
      <c r="D41" s="58">
        <v>621</v>
      </c>
      <c r="E41" s="508" t="s">
        <v>58</v>
      </c>
      <c r="F41" s="509"/>
      <c r="G41" s="510">
        <f t="shared" si="4"/>
        <v>0</v>
      </c>
      <c r="H41" s="511"/>
    </row>
    <row r="42" spans="1:8" customFormat="1" x14ac:dyDescent="0.25">
      <c r="A42" s="506" t="s">
        <v>540</v>
      </c>
      <c r="B42" s="507"/>
      <c r="C42" s="60">
        <f t="shared" si="2"/>
        <v>832.74</v>
      </c>
      <c r="D42" s="58">
        <v>692</v>
      </c>
      <c r="E42" s="508" t="s">
        <v>58</v>
      </c>
      <c r="F42" s="509"/>
      <c r="G42" s="510">
        <f t="shared" si="4"/>
        <v>0</v>
      </c>
      <c r="H42" s="511"/>
    </row>
    <row r="43" spans="1:8" customFormat="1" x14ac:dyDescent="0.25">
      <c r="A43" s="506" t="s">
        <v>541</v>
      </c>
      <c r="B43" s="507"/>
      <c r="C43" s="60">
        <f t="shared" si="2"/>
        <v>1146.82</v>
      </c>
      <c r="D43" s="58">
        <v>953</v>
      </c>
      <c r="E43" s="508" t="s">
        <v>58</v>
      </c>
      <c r="F43" s="509"/>
      <c r="G43" s="510">
        <f t="shared" si="4"/>
        <v>0</v>
      </c>
      <c r="H43" s="511"/>
    </row>
    <row r="44" spans="1:8" customFormat="1" x14ac:dyDescent="0.25">
      <c r="A44" s="506"/>
      <c r="B44" s="507"/>
      <c r="C44" s="60">
        <f t="shared" si="2"/>
        <v>1541.53</v>
      </c>
      <c r="D44" s="58">
        <v>1281</v>
      </c>
      <c r="E44" s="508" t="s">
        <v>58</v>
      </c>
      <c r="F44" s="509"/>
      <c r="G44" s="510">
        <f>B44*C44</f>
        <v>0</v>
      </c>
      <c r="H44" s="511"/>
    </row>
    <row r="45" spans="1:8" customFormat="1" x14ac:dyDescent="0.25">
      <c r="A45" s="506"/>
      <c r="B45" s="514"/>
      <c r="C45" s="60"/>
      <c r="D45" s="58"/>
      <c r="E45" s="508"/>
      <c r="F45" s="509"/>
      <c r="G45" s="510"/>
      <c r="H45" s="511"/>
    </row>
    <row r="46" spans="1:8" x14ac:dyDescent="0.25">
      <c r="A46" s="128" t="s">
        <v>159</v>
      </c>
      <c r="B46" s="4"/>
      <c r="C46" s="60">
        <v>0</v>
      </c>
      <c r="D46" s="58"/>
      <c r="E46" s="131" t="s">
        <v>58</v>
      </c>
      <c r="F46" s="133"/>
      <c r="G46" s="66">
        <f t="shared" si="1"/>
        <v>0</v>
      </c>
      <c r="H46" s="118"/>
    </row>
    <row r="47" spans="1:8" x14ac:dyDescent="0.25">
      <c r="A47" s="128"/>
      <c r="B47" s="4"/>
      <c r="C47" s="60">
        <v>0</v>
      </c>
      <c r="D47" s="58"/>
      <c r="E47" s="131" t="s">
        <v>58</v>
      </c>
      <c r="F47" s="133"/>
      <c r="G47" s="66">
        <f>B47*C47</f>
        <v>0</v>
      </c>
      <c r="H47" s="118"/>
    </row>
    <row r="48" spans="1:8" x14ac:dyDescent="0.25">
      <c r="A48" s="128"/>
      <c r="B48" s="63"/>
      <c r="C48" s="60"/>
      <c r="D48" s="58"/>
      <c r="E48" s="131"/>
      <c r="F48" s="133"/>
      <c r="G48" s="66"/>
      <c r="H48" s="118"/>
    </row>
    <row r="49" spans="1:25" x14ac:dyDescent="0.25">
      <c r="A49" s="128" t="s">
        <v>59</v>
      </c>
      <c r="B49" s="63"/>
      <c r="C49" s="60"/>
      <c r="D49" s="58"/>
      <c r="E49" s="131"/>
      <c r="F49" s="133"/>
      <c r="G49" s="66"/>
      <c r="H49" s="118"/>
    </row>
    <row r="50" spans="1:25" customFormat="1" x14ac:dyDescent="0.25">
      <c r="A50" s="515" t="s">
        <v>543</v>
      </c>
      <c r="B50" s="507"/>
      <c r="C50" s="60">
        <f t="shared" ref="C50:C55" si="5">ROUND(D50*$B$171,2)</f>
        <v>6979.62</v>
      </c>
      <c r="D50" s="58">
        <v>5800</v>
      </c>
      <c r="E50" s="508" t="s">
        <v>57</v>
      </c>
      <c r="F50" s="509"/>
      <c r="G50" s="510">
        <f>B50*C50</f>
        <v>0</v>
      </c>
      <c r="H50" s="511"/>
    </row>
    <row r="51" spans="1:25" customFormat="1" x14ac:dyDescent="0.25">
      <c r="A51" s="515" t="s">
        <v>544</v>
      </c>
      <c r="B51" s="507"/>
      <c r="C51" s="60">
        <f t="shared" si="5"/>
        <v>7821.99</v>
      </c>
      <c r="D51" s="58">
        <v>6500</v>
      </c>
      <c r="E51" s="508" t="s">
        <v>57</v>
      </c>
      <c r="F51" s="509"/>
      <c r="G51" s="510">
        <f t="shared" ref="G51:G55" si="6">B51*C51</f>
        <v>0</v>
      </c>
      <c r="H51" s="511"/>
    </row>
    <row r="52" spans="1:25" customFormat="1" x14ac:dyDescent="0.25">
      <c r="A52" s="515" t="s">
        <v>545</v>
      </c>
      <c r="B52" s="507"/>
      <c r="C52" s="60">
        <f t="shared" si="5"/>
        <v>8483.85</v>
      </c>
      <c r="D52" s="58">
        <v>7050</v>
      </c>
      <c r="E52" s="508" t="s">
        <v>57</v>
      </c>
      <c r="F52" s="509"/>
      <c r="G52" s="510">
        <f t="shared" si="6"/>
        <v>0</v>
      </c>
      <c r="H52" s="511"/>
    </row>
    <row r="53" spans="1:25" customFormat="1" x14ac:dyDescent="0.25">
      <c r="A53" s="515" t="s">
        <v>546</v>
      </c>
      <c r="B53" s="507"/>
      <c r="C53" s="60">
        <f t="shared" si="5"/>
        <v>13237.22</v>
      </c>
      <c r="D53" s="58">
        <v>11000</v>
      </c>
      <c r="E53" s="508" t="s">
        <v>57</v>
      </c>
      <c r="F53" s="509"/>
      <c r="G53" s="510">
        <f t="shared" si="6"/>
        <v>0</v>
      </c>
      <c r="H53" s="511"/>
    </row>
    <row r="54" spans="1:25" customFormat="1" x14ac:dyDescent="0.25">
      <c r="A54" s="515" t="s">
        <v>547</v>
      </c>
      <c r="B54" s="507"/>
      <c r="C54" s="60">
        <f t="shared" si="5"/>
        <v>16847.37</v>
      </c>
      <c r="D54" s="58">
        <v>14000</v>
      </c>
      <c r="E54" s="508" t="s">
        <v>57</v>
      </c>
      <c r="F54" s="509"/>
      <c r="G54" s="510">
        <f t="shared" si="6"/>
        <v>0</v>
      </c>
      <c r="H54" s="511"/>
    </row>
    <row r="55" spans="1:25" customFormat="1" x14ac:dyDescent="0.25">
      <c r="A55" s="515" t="s">
        <v>548</v>
      </c>
      <c r="B55" s="507"/>
      <c r="C55" s="60">
        <f t="shared" si="5"/>
        <v>18050.75</v>
      </c>
      <c r="D55" s="58">
        <v>15000</v>
      </c>
      <c r="E55" s="508" t="s">
        <v>57</v>
      </c>
      <c r="F55" s="509"/>
      <c r="G55" s="510">
        <f t="shared" si="6"/>
        <v>0</v>
      </c>
      <c r="H55" s="511"/>
    </row>
    <row r="56" spans="1:25" x14ac:dyDescent="0.25">
      <c r="A56" s="136" t="s">
        <v>160</v>
      </c>
      <c r="B56" s="4"/>
      <c r="C56" s="60">
        <v>0</v>
      </c>
      <c r="D56" s="58"/>
      <c r="E56" s="131" t="s">
        <v>57</v>
      </c>
      <c r="F56" s="133"/>
      <c r="G56" s="66">
        <f>B56*C56</f>
        <v>0</v>
      </c>
      <c r="H56" s="118"/>
    </row>
    <row r="57" spans="1:25" x14ac:dyDescent="0.25">
      <c r="A57" s="128"/>
      <c r="B57" s="4"/>
      <c r="C57" s="60">
        <v>0</v>
      </c>
      <c r="D57" s="58"/>
      <c r="E57" s="131" t="s">
        <v>57</v>
      </c>
      <c r="F57" s="133"/>
      <c r="G57" s="66">
        <f>B57*C57</f>
        <v>0</v>
      </c>
      <c r="H57" s="118"/>
    </row>
    <row r="58" spans="1:25" x14ac:dyDescent="0.25">
      <c r="A58" s="128"/>
      <c r="B58" s="63"/>
      <c r="C58" s="60"/>
      <c r="D58" s="58"/>
      <c r="E58" s="131"/>
      <c r="F58" s="133"/>
      <c r="G58" s="66"/>
      <c r="H58" s="118"/>
    </row>
    <row r="59" spans="1:25" x14ac:dyDescent="0.25">
      <c r="A59" s="128" t="s">
        <v>107</v>
      </c>
      <c r="B59" s="57"/>
      <c r="C59" s="60"/>
      <c r="D59" s="58"/>
      <c r="E59" s="131"/>
      <c r="F59" s="132"/>
      <c r="G59" s="66"/>
      <c r="H59" s="118"/>
    </row>
    <row r="60" spans="1:25" x14ac:dyDescent="0.25">
      <c r="A60" s="136" t="s">
        <v>161</v>
      </c>
      <c r="B60" s="4"/>
      <c r="C60" s="60">
        <f>ROUND(D60*$B$171,2)</f>
        <v>9025.3799999999992</v>
      </c>
      <c r="D60" s="58">
        <v>7500</v>
      </c>
      <c r="E60" s="131" t="s">
        <v>57</v>
      </c>
      <c r="F60" s="132"/>
      <c r="G60" s="66">
        <f t="shared" ref="G60:G65" si="7">B60*C60</f>
        <v>0</v>
      </c>
      <c r="H60" s="118"/>
    </row>
    <row r="61" spans="1:25" x14ac:dyDescent="0.25">
      <c r="A61" s="136" t="s">
        <v>162</v>
      </c>
      <c r="B61" s="4"/>
      <c r="C61" s="60">
        <f>ROUND(D61*$B$171,2)</f>
        <v>10228.76</v>
      </c>
      <c r="D61" s="58">
        <v>8500</v>
      </c>
      <c r="E61" s="131" t="s">
        <v>57</v>
      </c>
      <c r="F61" s="133"/>
      <c r="G61" s="66">
        <f t="shared" si="7"/>
        <v>0</v>
      </c>
      <c r="H61" s="114"/>
      <c r="I61" s="134"/>
      <c r="J61" s="134"/>
      <c r="K61" s="134"/>
      <c r="L61" s="134"/>
      <c r="M61" s="134"/>
      <c r="N61" s="134"/>
      <c r="O61" s="134"/>
      <c r="P61" s="134"/>
      <c r="Q61" s="134"/>
      <c r="R61" s="134"/>
      <c r="S61" s="134"/>
      <c r="T61" s="134"/>
      <c r="U61" s="134"/>
      <c r="V61" s="134"/>
      <c r="W61" s="134"/>
      <c r="X61" s="134"/>
      <c r="Y61" s="134"/>
    </row>
    <row r="62" spans="1:25" customFormat="1" x14ac:dyDescent="0.25">
      <c r="A62" s="515" t="s">
        <v>163</v>
      </c>
      <c r="B62" s="507"/>
      <c r="C62" s="60">
        <f>ROUND(D62*$B$171,2)</f>
        <v>13959.25</v>
      </c>
      <c r="D62" s="58">
        <v>11600</v>
      </c>
      <c r="E62" s="508" t="s">
        <v>57</v>
      </c>
      <c r="F62" s="509"/>
      <c r="G62" s="510">
        <f t="shared" si="7"/>
        <v>0</v>
      </c>
      <c r="H62" s="511"/>
    </row>
    <row r="63" spans="1:25" customFormat="1" x14ac:dyDescent="0.25">
      <c r="A63" s="515" t="s">
        <v>549</v>
      </c>
      <c r="B63" s="507"/>
      <c r="C63" s="60">
        <f>ROUND(D63*$B$171,2)</f>
        <v>3008.46</v>
      </c>
      <c r="D63" s="58">
        <v>2500</v>
      </c>
      <c r="E63" s="508" t="s">
        <v>57</v>
      </c>
      <c r="F63" s="509"/>
      <c r="G63" s="510">
        <f t="shared" si="7"/>
        <v>0</v>
      </c>
      <c r="H63" s="511"/>
    </row>
    <row r="64" spans="1:25" customFormat="1" x14ac:dyDescent="0.25">
      <c r="A64" s="515" t="s">
        <v>550</v>
      </c>
      <c r="B64" s="507"/>
      <c r="C64" s="60">
        <f>ROUND(D64*$B$171,2)</f>
        <v>14109.67</v>
      </c>
      <c r="D64" s="58">
        <v>11725</v>
      </c>
      <c r="E64" s="508" t="s">
        <v>57</v>
      </c>
      <c r="F64" s="509"/>
      <c r="G64" s="510">
        <f t="shared" si="7"/>
        <v>0</v>
      </c>
      <c r="H64" s="511"/>
    </row>
    <row r="65" spans="1:25" x14ac:dyDescent="0.25">
      <c r="A65" s="128"/>
      <c r="B65" s="4"/>
      <c r="C65" s="60">
        <v>0</v>
      </c>
      <c r="D65" s="58"/>
      <c r="E65" s="131" t="s">
        <v>57</v>
      </c>
      <c r="F65" s="133"/>
      <c r="G65" s="66">
        <f t="shared" si="7"/>
        <v>0</v>
      </c>
      <c r="H65" s="118"/>
    </row>
    <row r="66" spans="1:25" x14ac:dyDescent="0.25">
      <c r="A66" s="128"/>
      <c r="B66" s="63"/>
      <c r="C66" s="60"/>
      <c r="D66" s="58"/>
      <c r="E66" s="131"/>
      <c r="F66" s="133"/>
      <c r="G66" s="66"/>
      <c r="H66" s="137"/>
      <c r="I66" s="134"/>
      <c r="J66" s="134"/>
      <c r="K66" s="138"/>
      <c r="L66" s="134"/>
      <c r="M66" s="134"/>
      <c r="N66" s="138"/>
      <c r="O66" s="134"/>
      <c r="P66" s="134"/>
      <c r="Q66" s="138"/>
      <c r="R66" s="134"/>
      <c r="S66" s="134"/>
      <c r="T66" s="138"/>
      <c r="U66" s="134"/>
      <c r="V66" s="134"/>
      <c r="W66" s="138"/>
      <c r="X66" s="134"/>
      <c r="Y66" s="134"/>
    </row>
    <row r="67" spans="1:25" x14ac:dyDescent="0.25">
      <c r="A67" s="128" t="s">
        <v>164</v>
      </c>
      <c r="B67" s="63"/>
      <c r="C67" s="60"/>
      <c r="D67" s="58"/>
      <c r="E67" s="131"/>
      <c r="F67" s="133"/>
      <c r="G67" s="66"/>
      <c r="H67" s="139"/>
      <c r="I67" s="140"/>
      <c r="J67" s="140"/>
      <c r="K67" s="140"/>
      <c r="L67" s="140"/>
      <c r="M67" s="140"/>
      <c r="N67" s="140"/>
      <c r="O67" s="140"/>
      <c r="P67" s="140"/>
      <c r="Q67" s="140"/>
      <c r="R67" s="140"/>
      <c r="S67" s="140"/>
      <c r="T67" s="140"/>
      <c r="U67" s="140"/>
      <c r="V67" s="140"/>
      <c r="W67" s="140"/>
      <c r="X67" s="140"/>
      <c r="Y67" s="140"/>
    </row>
    <row r="68" spans="1:25" x14ac:dyDescent="0.25">
      <c r="A68" s="136" t="s">
        <v>165</v>
      </c>
      <c r="B68" s="4"/>
      <c r="C68" s="60">
        <f>ROUND(D68*$B$171,2)</f>
        <v>4211.84</v>
      </c>
      <c r="D68" s="58">
        <v>3500</v>
      </c>
      <c r="E68" s="131" t="s">
        <v>57</v>
      </c>
      <c r="F68" s="133"/>
      <c r="G68" s="66">
        <f>B68*C68</f>
        <v>0</v>
      </c>
      <c r="H68" s="114"/>
      <c r="I68" s="134"/>
      <c r="J68" s="134"/>
      <c r="K68" s="134"/>
      <c r="L68" s="134"/>
      <c r="M68" s="134"/>
      <c r="N68" s="134"/>
      <c r="O68" s="134"/>
      <c r="P68" s="134"/>
      <c r="Q68" s="134"/>
      <c r="R68" s="134"/>
      <c r="S68" s="134"/>
      <c r="T68" s="134"/>
      <c r="U68" s="134"/>
      <c r="V68" s="134"/>
      <c r="W68" s="134"/>
      <c r="X68" s="134"/>
      <c r="Y68" s="134"/>
    </row>
    <row r="69" spans="1:25" x14ac:dyDescent="0.25">
      <c r="A69" s="136" t="s">
        <v>166</v>
      </c>
      <c r="B69" s="4"/>
      <c r="C69" s="60">
        <f>ROUND(D69*$B$171,2)</f>
        <v>2105.92</v>
      </c>
      <c r="D69" s="58">
        <v>1750</v>
      </c>
      <c r="E69" s="131" t="s">
        <v>57</v>
      </c>
      <c r="F69" s="133"/>
      <c r="G69" s="66">
        <f>B69*C69</f>
        <v>0</v>
      </c>
      <c r="H69" s="114"/>
      <c r="I69" s="134"/>
      <c r="J69" s="134"/>
      <c r="K69" s="134"/>
      <c r="L69" s="134"/>
      <c r="M69" s="134"/>
      <c r="N69" s="134"/>
      <c r="O69" s="134"/>
      <c r="P69" s="134"/>
      <c r="Q69" s="134"/>
      <c r="R69" s="134"/>
      <c r="S69" s="134"/>
      <c r="T69" s="134"/>
      <c r="U69" s="134"/>
      <c r="V69" s="134"/>
      <c r="W69" s="134"/>
      <c r="X69" s="134"/>
      <c r="Y69" s="134"/>
    </row>
    <row r="70" spans="1:25" x14ac:dyDescent="0.25">
      <c r="A70" s="136" t="s">
        <v>167</v>
      </c>
      <c r="B70" s="4"/>
      <c r="C70" s="60">
        <f>ROUND(D70*$B$171,2)</f>
        <v>4452.5200000000004</v>
      </c>
      <c r="D70" s="58">
        <v>3700</v>
      </c>
      <c r="E70" s="131" t="s">
        <v>57</v>
      </c>
      <c r="F70" s="141"/>
      <c r="G70" s="66">
        <f>B70*C70</f>
        <v>0</v>
      </c>
      <c r="H70" s="114"/>
      <c r="I70" s="134"/>
      <c r="J70" s="134"/>
      <c r="K70" s="134"/>
      <c r="L70" s="134"/>
      <c r="M70" s="134"/>
      <c r="N70" s="134"/>
      <c r="O70" s="134"/>
      <c r="P70" s="134"/>
      <c r="Q70" s="134"/>
      <c r="R70" s="134"/>
      <c r="S70" s="134"/>
      <c r="T70" s="134"/>
      <c r="U70" s="134"/>
      <c r="V70" s="134"/>
      <c r="W70" s="134"/>
      <c r="X70" s="134"/>
      <c r="Y70" s="134"/>
    </row>
    <row r="71" spans="1:25" x14ac:dyDescent="0.25">
      <c r="A71" s="136" t="s">
        <v>168</v>
      </c>
      <c r="B71" s="4"/>
      <c r="C71" s="60">
        <v>0</v>
      </c>
      <c r="D71" s="58"/>
      <c r="E71" s="131" t="s">
        <v>57</v>
      </c>
      <c r="F71" s="133"/>
      <c r="G71" s="66">
        <f>B71*C71</f>
        <v>0</v>
      </c>
      <c r="H71" s="118"/>
    </row>
    <row r="72" spans="1:25" x14ac:dyDescent="0.25">
      <c r="A72" s="128"/>
      <c r="B72" s="4"/>
      <c r="C72" s="60">
        <v>0</v>
      </c>
      <c r="D72" s="58"/>
      <c r="E72" s="131" t="s">
        <v>57</v>
      </c>
      <c r="F72" s="133"/>
      <c r="G72" s="66">
        <f>B72*C72</f>
        <v>0</v>
      </c>
      <c r="H72" s="118"/>
    </row>
    <row r="73" spans="1:25" x14ac:dyDescent="0.25">
      <c r="A73" s="128"/>
      <c r="B73" s="63"/>
      <c r="C73" s="60"/>
      <c r="D73" s="58"/>
      <c r="E73" s="131"/>
      <c r="F73" s="133"/>
      <c r="G73" s="66"/>
      <c r="H73" s="118"/>
    </row>
    <row r="74" spans="1:25" x14ac:dyDescent="0.25">
      <c r="A74" s="128" t="s">
        <v>169</v>
      </c>
      <c r="B74" s="63"/>
      <c r="C74" s="60"/>
      <c r="D74" s="58"/>
      <c r="E74" s="131"/>
      <c r="F74" s="133"/>
      <c r="G74" s="66"/>
      <c r="H74" s="118"/>
    </row>
    <row r="75" spans="1:25" x14ac:dyDescent="0.25">
      <c r="A75" s="136" t="s">
        <v>170</v>
      </c>
      <c r="B75" s="4"/>
      <c r="C75" s="60">
        <f>ROUND(D75*$B$171,2)</f>
        <v>9025.3799999999992</v>
      </c>
      <c r="D75" s="58">
        <v>7500</v>
      </c>
      <c r="E75" s="131" t="s">
        <v>57</v>
      </c>
      <c r="F75" s="133"/>
      <c r="G75" s="66">
        <f t="shared" ref="G75:G88" si="8">B75*C75</f>
        <v>0</v>
      </c>
      <c r="H75" s="118"/>
    </row>
    <row r="76" spans="1:25" x14ac:dyDescent="0.25">
      <c r="A76" s="136" t="s">
        <v>171</v>
      </c>
      <c r="B76" s="4"/>
      <c r="C76" s="60">
        <v>0</v>
      </c>
      <c r="D76" s="58"/>
      <c r="E76" s="131" t="s">
        <v>57</v>
      </c>
      <c r="F76" s="132"/>
      <c r="G76" s="66">
        <f t="shared" si="8"/>
        <v>0</v>
      </c>
      <c r="H76" s="118"/>
    </row>
    <row r="77" spans="1:25" x14ac:dyDescent="0.25">
      <c r="A77" s="136" t="s">
        <v>172</v>
      </c>
      <c r="B77" s="4"/>
      <c r="C77" s="60">
        <f>ROUND(D77*$B$171,2)</f>
        <v>12635.53</v>
      </c>
      <c r="D77" s="58">
        <v>10500</v>
      </c>
      <c r="E77" s="131" t="s">
        <v>57</v>
      </c>
      <c r="F77" s="132"/>
      <c r="G77" s="66">
        <f t="shared" si="8"/>
        <v>0</v>
      </c>
      <c r="H77" s="118"/>
    </row>
    <row r="78" spans="1:25" x14ac:dyDescent="0.25">
      <c r="A78" s="128"/>
      <c r="B78" s="4"/>
      <c r="C78" s="60">
        <v>0</v>
      </c>
      <c r="D78" s="58"/>
      <c r="E78" s="131" t="s">
        <v>57</v>
      </c>
      <c r="F78" s="133"/>
      <c r="G78" s="66">
        <f>B78*C78</f>
        <v>0</v>
      </c>
      <c r="H78" s="118"/>
    </row>
    <row r="79" spans="1:25" x14ac:dyDescent="0.25">
      <c r="A79" s="136"/>
      <c r="B79" s="63"/>
      <c r="C79" s="60"/>
      <c r="D79" s="58"/>
      <c r="E79" s="131"/>
      <c r="F79" s="132"/>
      <c r="G79" s="66"/>
      <c r="H79" s="118"/>
    </row>
    <row r="80" spans="1:25" x14ac:dyDescent="0.25">
      <c r="A80" s="128" t="s">
        <v>176</v>
      </c>
      <c r="B80" s="63"/>
      <c r="C80" s="60"/>
      <c r="D80" s="58"/>
      <c r="E80" s="131"/>
      <c r="F80" s="132"/>
      <c r="G80" s="66"/>
      <c r="H80" s="118"/>
    </row>
    <row r="81" spans="1:8" x14ac:dyDescent="0.25">
      <c r="A81" s="136" t="s">
        <v>151</v>
      </c>
      <c r="B81" s="4"/>
      <c r="C81" s="60">
        <f t="shared" ref="C81:C88" si="9">ROUND(D81*$B$171,2)</f>
        <v>2105.92</v>
      </c>
      <c r="D81" s="58">
        <v>1750</v>
      </c>
      <c r="E81" s="131" t="s">
        <v>57</v>
      </c>
      <c r="F81" s="132"/>
      <c r="G81" s="66">
        <f t="shared" si="8"/>
        <v>0</v>
      </c>
      <c r="H81" s="118"/>
    </row>
    <row r="82" spans="1:8" x14ac:dyDescent="0.25">
      <c r="A82" s="136" t="s">
        <v>152</v>
      </c>
      <c r="B82" s="4"/>
      <c r="C82" s="60">
        <f t="shared" si="9"/>
        <v>2136.0100000000002</v>
      </c>
      <c r="D82" s="58">
        <v>1775</v>
      </c>
      <c r="E82" s="131" t="s">
        <v>57</v>
      </c>
      <c r="F82" s="132"/>
      <c r="G82" s="66">
        <f t="shared" si="8"/>
        <v>0</v>
      </c>
      <c r="H82" s="118"/>
    </row>
    <row r="83" spans="1:8" customFormat="1" x14ac:dyDescent="0.25">
      <c r="A83" s="515" t="s">
        <v>154</v>
      </c>
      <c r="B83" s="507"/>
      <c r="C83" s="60">
        <f t="shared" si="9"/>
        <v>2166.09</v>
      </c>
      <c r="D83" s="58">
        <v>1800</v>
      </c>
      <c r="E83" s="508" t="s">
        <v>57</v>
      </c>
      <c r="F83" s="513"/>
      <c r="G83" s="510">
        <f t="shared" si="8"/>
        <v>0</v>
      </c>
      <c r="H83" s="511"/>
    </row>
    <row r="84" spans="1:8" customFormat="1" x14ac:dyDescent="0.25">
      <c r="A84" s="515" t="s">
        <v>155</v>
      </c>
      <c r="B84" s="507"/>
      <c r="C84" s="60">
        <f t="shared" si="9"/>
        <v>2647.44</v>
      </c>
      <c r="D84" s="58">
        <v>2200</v>
      </c>
      <c r="E84" s="508" t="s">
        <v>57</v>
      </c>
      <c r="F84" s="513"/>
      <c r="G84" s="510">
        <f t="shared" si="8"/>
        <v>0</v>
      </c>
      <c r="H84" s="511"/>
    </row>
    <row r="85" spans="1:8" customFormat="1" x14ac:dyDescent="0.25">
      <c r="A85" s="515" t="s">
        <v>156</v>
      </c>
      <c r="B85" s="507"/>
      <c r="C85" s="60">
        <f t="shared" si="9"/>
        <v>2166.09</v>
      </c>
      <c r="D85" s="58">
        <v>1800</v>
      </c>
      <c r="E85" s="508" t="s">
        <v>57</v>
      </c>
      <c r="F85" s="513"/>
      <c r="G85" s="510">
        <f t="shared" si="8"/>
        <v>0</v>
      </c>
      <c r="H85" s="511"/>
    </row>
    <row r="86" spans="1:8" customFormat="1" x14ac:dyDescent="0.25">
      <c r="A86" s="515" t="s">
        <v>157</v>
      </c>
      <c r="B86" s="507"/>
      <c r="C86" s="60">
        <f t="shared" si="9"/>
        <v>2647.44</v>
      </c>
      <c r="D86" s="58">
        <v>2200</v>
      </c>
      <c r="E86" s="508" t="s">
        <v>57</v>
      </c>
      <c r="F86" s="513"/>
      <c r="G86" s="510">
        <f t="shared" si="8"/>
        <v>0</v>
      </c>
      <c r="H86" s="511"/>
    </row>
    <row r="87" spans="1:8" customFormat="1" x14ac:dyDescent="0.25">
      <c r="A87" s="515" t="s">
        <v>551</v>
      </c>
      <c r="B87" s="507"/>
      <c r="C87" s="60">
        <f t="shared" si="9"/>
        <v>3128.8</v>
      </c>
      <c r="D87" s="58">
        <v>2600</v>
      </c>
      <c r="E87" s="508" t="s">
        <v>57</v>
      </c>
      <c r="F87" s="513"/>
      <c r="G87" s="510">
        <f t="shared" si="8"/>
        <v>0</v>
      </c>
      <c r="H87" s="511"/>
    </row>
    <row r="88" spans="1:8" customFormat="1" x14ac:dyDescent="0.25">
      <c r="A88" s="515" t="s">
        <v>537</v>
      </c>
      <c r="B88" s="507"/>
      <c r="C88" s="60">
        <f t="shared" si="9"/>
        <v>4211.84</v>
      </c>
      <c r="D88" s="58">
        <v>3500</v>
      </c>
      <c r="E88" s="508" t="s">
        <v>57</v>
      </c>
      <c r="F88" s="513"/>
      <c r="G88" s="510">
        <f t="shared" si="8"/>
        <v>0</v>
      </c>
      <c r="H88" s="511"/>
    </row>
    <row r="89" spans="1:8" x14ac:dyDescent="0.25">
      <c r="A89" s="128"/>
      <c r="B89" s="4"/>
      <c r="C89" s="60"/>
      <c r="D89" s="58"/>
      <c r="E89" s="131" t="s">
        <v>57</v>
      </c>
      <c r="F89" s="133"/>
      <c r="G89" s="66">
        <f>B89*C89</f>
        <v>0</v>
      </c>
      <c r="H89" s="118"/>
    </row>
    <row r="90" spans="1:8" x14ac:dyDescent="0.25">
      <c r="A90" s="136"/>
      <c r="B90" s="63"/>
      <c r="C90" s="60"/>
      <c r="D90" s="58"/>
      <c r="E90" s="131"/>
      <c r="F90" s="132"/>
      <c r="G90" s="66"/>
      <c r="H90" s="118"/>
    </row>
    <row r="91" spans="1:8" x14ac:dyDescent="0.25">
      <c r="A91" s="128" t="s">
        <v>24</v>
      </c>
      <c r="B91" s="63"/>
      <c r="C91" s="60"/>
      <c r="D91" s="58"/>
      <c r="E91" s="131"/>
      <c r="F91" s="132"/>
      <c r="G91" s="66"/>
      <c r="H91" s="118"/>
    </row>
    <row r="92" spans="1:8" x14ac:dyDescent="0.25">
      <c r="A92" s="136" t="s">
        <v>173</v>
      </c>
      <c r="B92" s="4"/>
      <c r="C92" s="60">
        <f t="shared" ref="C92:C98" si="10">ROUND(D92*$B$171,2)</f>
        <v>60.17</v>
      </c>
      <c r="D92" s="58">
        <v>50</v>
      </c>
      <c r="E92" s="131" t="s">
        <v>58</v>
      </c>
      <c r="F92" s="132"/>
      <c r="G92" s="66">
        <f t="shared" ref="G92:G126" si="11">B92*C92</f>
        <v>0</v>
      </c>
      <c r="H92" s="118"/>
    </row>
    <row r="93" spans="1:8" x14ac:dyDescent="0.25">
      <c r="A93" s="136" t="s">
        <v>174</v>
      </c>
      <c r="B93" s="4"/>
      <c r="C93" s="60">
        <f t="shared" si="10"/>
        <v>1203.3800000000001</v>
      </c>
      <c r="D93" s="58">
        <v>1000</v>
      </c>
      <c r="E93" s="131" t="s">
        <v>57</v>
      </c>
      <c r="F93" s="132"/>
      <c r="G93" s="66">
        <f t="shared" si="11"/>
        <v>0</v>
      </c>
      <c r="H93" s="118"/>
    </row>
    <row r="94" spans="1:8" x14ac:dyDescent="0.25">
      <c r="A94" s="136" t="s">
        <v>175</v>
      </c>
      <c r="B94" s="4"/>
      <c r="C94" s="60">
        <f t="shared" si="10"/>
        <v>4813.53</v>
      </c>
      <c r="D94" s="58">
        <v>4000</v>
      </c>
      <c r="E94" s="131" t="s">
        <v>57</v>
      </c>
      <c r="F94" s="132"/>
      <c r="G94" s="66">
        <f t="shared" si="11"/>
        <v>0</v>
      </c>
      <c r="H94" s="118"/>
    </row>
    <row r="95" spans="1:8" x14ac:dyDescent="0.25">
      <c r="A95" s="136" t="s">
        <v>177</v>
      </c>
      <c r="B95" s="4"/>
      <c r="C95" s="60">
        <f t="shared" si="10"/>
        <v>902.54</v>
      </c>
      <c r="D95" s="58">
        <v>750</v>
      </c>
      <c r="E95" s="131" t="s">
        <v>61</v>
      </c>
      <c r="F95" s="132"/>
      <c r="G95" s="66">
        <f t="shared" si="11"/>
        <v>0</v>
      </c>
      <c r="H95" s="118"/>
    </row>
    <row r="96" spans="1:8" x14ac:dyDescent="0.25">
      <c r="A96" s="136" t="s">
        <v>178</v>
      </c>
      <c r="B96" s="4"/>
      <c r="C96" s="60">
        <f t="shared" si="10"/>
        <v>300.85000000000002</v>
      </c>
      <c r="D96" s="58">
        <v>250</v>
      </c>
      <c r="E96" s="142" t="s">
        <v>240</v>
      </c>
      <c r="F96" s="132"/>
      <c r="G96" s="66">
        <f t="shared" si="11"/>
        <v>0</v>
      </c>
      <c r="H96" s="118"/>
    </row>
    <row r="97" spans="1:8" x14ac:dyDescent="0.25">
      <c r="A97" s="136" t="s">
        <v>179</v>
      </c>
      <c r="B97" s="4"/>
      <c r="C97" s="60">
        <f t="shared" si="10"/>
        <v>361.02</v>
      </c>
      <c r="D97" s="58">
        <v>300</v>
      </c>
      <c r="E97" s="131" t="s">
        <v>61</v>
      </c>
      <c r="F97" s="132"/>
      <c r="G97" s="66">
        <f t="shared" si="11"/>
        <v>0</v>
      </c>
      <c r="H97" s="118"/>
    </row>
    <row r="98" spans="1:8" x14ac:dyDescent="0.25">
      <c r="A98" s="136" t="s">
        <v>180</v>
      </c>
      <c r="B98" s="4"/>
      <c r="C98" s="60">
        <f t="shared" si="10"/>
        <v>40915.040000000001</v>
      </c>
      <c r="D98" s="58">
        <v>34000</v>
      </c>
      <c r="E98" s="131" t="s">
        <v>57</v>
      </c>
      <c r="F98" s="132"/>
      <c r="G98" s="66">
        <f t="shared" si="11"/>
        <v>0</v>
      </c>
      <c r="H98" s="118"/>
    </row>
    <row r="99" spans="1:8" x14ac:dyDescent="0.25">
      <c r="A99" s="128" t="s">
        <v>229</v>
      </c>
      <c r="B99" s="4"/>
      <c r="C99" s="60"/>
      <c r="D99" s="58"/>
      <c r="E99" s="131" t="s">
        <v>57</v>
      </c>
      <c r="F99" s="132"/>
      <c r="G99" s="66">
        <f t="shared" si="11"/>
        <v>0</v>
      </c>
      <c r="H99" s="118"/>
    </row>
    <row r="100" spans="1:8" x14ac:dyDescent="0.25">
      <c r="A100" s="128" t="s">
        <v>231</v>
      </c>
      <c r="B100" s="4"/>
      <c r="C100" s="60">
        <f>ROUND(D100*$B$171,2)</f>
        <v>240.68</v>
      </c>
      <c r="D100" s="58">
        <v>200</v>
      </c>
      <c r="E100" s="142" t="s">
        <v>240</v>
      </c>
      <c r="F100" s="132"/>
      <c r="G100" s="66">
        <f t="shared" si="11"/>
        <v>0</v>
      </c>
      <c r="H100" s="118"/>
    </row>
    <row r="101" spans="1:8" x14ac:dyDescent="0.25">
      <c r="A101" s="128" t="s">
        <v>230</v>
      </c>
      <c r="B101" s="4"/>
      <c r="C101" s="60">
        <v>0</v>
      </c>
      <c r="D101" s="58"/>
      <c r="E101" s="131" t="s">
        <v>57</v>
      </c>
      <c r="F101" s="132"/>
      <c r="G101" s="66">
        <f t="shared" si="11"/>
        <v>0</v>
      </c>
      <c r="H101" s="118"/>
    </row>
    <row r="102" spans="1:8" x14ac:dyDescent="0.25">
      <c r="A102" s="143" t="s">
        <v>492</v>
      </c>
      <c r="B102" s="5"/>
      <c r="C102" s="60">
        <v>0</v>
      </c>
      <c r="D102" s="516"/>
      <c r="E102" s="144" t="s">
        <v>57</v>
      </c>
      <c r="F102" s="145"/>
      <c r="G102" s="66">
        <f t="shared" si="11"/>
        <v>0</v>
      </c>
      <c r="H102" s="118"/>
    </row>
    <row r="103" spans="1:8" x14ac:dyDescent="0.25">
      <c r="A103" s="23"/>
      <c r="B103" s="4"/>
      <c r="C103" s="12">
        <v>0</v>
      </c>
      <c r="D103" s="35"/>
      <c r="E103" s="64"/>
      <c r="F103" s="133"/>
      <c r="G103" s="66">
        <f>B103*C103</f>
        <v>0</v>
      </c>
      <c r="H103" s="118"/>
    </row>
    <row r="104" spans="1:8" x14ac:dyDescent="0.25">
      <c r="A104" s="13"/>
      <c r="B104" s="5"/>
      <c r="C104" s="12">
        <v>0</v>
      </c>
      <c r="D104" s="505"/>
      <c r="E104" s="14"/>
      <c r="F104" s="146"/>
      <c r="G104" s="66">
        <f t="shared" ref="G104:G114" si="12">B104*C104</f>
        <v>0</v>
      </c>
      <c r="H104" s="118"/>
    </row>
    <row r="105" spans="1:8" x14ac:dyDescent="0.25">
      <c r="A105" s="13"/>
      <c r="B105" s="5"/>
      <c r="C105" s="12">
        <v>0</v>
      </c>
      <c r="D105" s="505"/>
      <c r="E105" s="14"/>
      <c r="F105" s="146"/>
      <c r="G105" s="66">
        <f t="shared" si="12"/>
        <v>0</v>
      </c>
      <c r="H105" s="118"/>
    </row>
    <row r="106" spans="1:8" x14ac:dyDescent="0.25">
      <c r="A106" s="13"/>
      <c r="B106" s="5"/>
      <c r="C106" s="12">
        <v>0</v>
      </c>
      <c r="D106" s="505"/>
      <c r="E106" s="14"/>
      <c r="F106" s="146"/>
      <c r="G106" s="66">
        <f t="shared" si="12"/>
        <v>0</v>
      </c>
      <c r="H106" s="118"/>
    </row>
    <row r="107" spans="1:8" x14ac:dyDescent="0.25">
      <c r="A107" s="13"/>
      <c r="B107" s="5"/>
      <c r="C107" s="12">
        <v>0</v>
      </c>
      <c r="D107" s="505"/>
      <c r="E107" s="14"/>
      <c r="F107" s="146"/>
      <c r="G107" s="66">
        <f t="shared" si="12"/>
        <v>0</v>
      </c>
      <c r="H107" s="118"/>
    </row>
    <row r="108" spans="1:8" x14ac:dyDescent="0.25">
      <c r="A108" s="13"/>
      <c r="B108" s="5"/>
      <c r="C108" s="12">
        <v>0</v>
      </c>
      <c r="D108" s="505"/>
      <c r="E108" s="14"/>
      <c r="F108" s="146"/>
      <c r="G108" s="66">
        <f t="shared" si="12"/>
        <v>0</v>
      </c>
      <c r="H108" s="118"/>
    </row>
    <row r="109" spans="1:8" x14ac:dyDescent="0.25">
      <c r="A109" s="13"/>
      <c r="B109" s="5"/>
      <c r="C109" s="12">
        <v>0</v>
      </c>
      <c r="D109" s="505"/>
      <c r="E109" s="14"/>
      <c r="F109" s="146"/>
      <c r="G109" s="66">
        <f t="shared" si="12"/>
        <v>0</v>
      </c>
      <c r="H109" s="118"/>
    </row>
    <row r="110" spans="1:8" x14ac:dyDescent="0.25">
      <c r="A110" s="13"/>
      <c r="B110" s="5"/>
      <c r="C110" s="12">
        <v>0</v>
      </c>
      <c r="D110" s="505"/>
      <c r="E110" s="14"/>
      <c r="F110" s="146"/>
      <c r="G110" s="66">
        <f t="shared" si="12"/>
        <v>0</v>
      </c>
      <c r="H110" s="118"/>
    </row>
    <row r="111" spans="1:8" x14ac:dyDescent="0.25">
      <c r="A111" s="13"/>
      <c r="B111" s="5"/>
      <c r="C111" s="12">
        <v>0</v>
      </c>
      <c r="D111" s="505"/>
      <c r="E111" s="14"/>
      <c r="F111" s="146"/>
      <c r="G111" s="66">
        <f t="shared" si="12"/>
        <v>0</v>
      </c>
      <c r="H111" s="118"/>
    </row>
    <row r="112" spans="1:8" x14ac:dyDescent="0.25">
      <c r="A112" s="13"/>
      <c r="B112" s="5"/>
      <c r="C112" s="12">
        <v>0</v>
      </c>
      <c r="D112" s="505"/>
      <c r="E112" s="14"/>
      <c r="F112" s="146"/>
      <c r="G112" s="66">
        <f t="shared" si="12"/>
        <v>0</v>
      </c>
      <c r="H112" s="118"/>
    </row>
    <row r="113" spans="1:8" x14ac:dyDescent="0.25">
      <c r="A113" s="13"/>
      <c r="B113" s="5"/>
      <c r="C113" s="12">
        <v>0</v>
      </c>
      <c r="D113" s="505"/>
      <c r="E113" s="14"/>
      <c r="F113" s="146"/>
      <c r="G113" s="66">
        <f t="shared" si="12"/>
        <v>0</v>
      </c>
      <c r="H113" s="118"/>
    </row>
    <row r="114" spans="1:8" x14ac:dyDescent="0.25">
      <c r="A114" s="13"/>
      <c r="B114" s="5"/>
      <c r="C114" s="12">
        <v>0</v>
      </c>
      <c r="D114" s="505"/>
      <c r="E114" s="14"/>
      <c r="F114" s="146"/>
      <c r="G114" s="66">
        <f t="shared" si="12"/>
        <v>0</v>
      </c>
      <c r="H114" s="118"/>
    </row>
    <row r="115" spans="1:8" x14ac:dyDescent="0.25">
      <c r="A115" s="13"/>
      <c r="B115" s="5"/>
      <c r="C115" s="12">
        <v>0</v>
      </c>
      <c r="D115" s="505"/>
      <c r="E115" s="14"/>
      <c r="F115" s="145"/>
      <c r="G115" s="66">
        <f t="shared" si="11"/>
        <v>0</v>
      </c>
      <c r="H115" s="118"/>
    </row>
    <row r="116" spans="1:8" x14ac:dyDescent="0.25">
      <c r="A116" s="13"/>
      <c r="B116" s="5"/>
      <c r="C116" s="12">
        <v>0</v>
      </c>
      <c r="D116" s="505"/>
      <c r="E116" s="14"/>
      <c r="F116" s="145"/>
      <c r="G116" s="66">
        <f t="shared" si="11"/>
        <v>0</v>
      </c>
      <c r="H116" s="118"/>
    </row>
    <row r="117" spans="1:8" x14ac:dyDescent="0.25">
      <c r="A117" s="13"/>
      <c r="B117" s="5"/>
      <c r="C117" s="12">
        <v>0</v>
      </c>
      <c r="D117" s="505"/>
      <c r="E117" s="14"/>
      <c r="F117" s="145"/>
      <c r="G117" s="66">
        <f t="shared" ref="G117" si="13">B117*C117</f>
        <v>0</v>
      </c>
      <c r="H117" s="118"/>
    </row>
    <row r="118" spans="1:8" x14ac:dyDescent="0.25">
      <c r="A118" s="13"/>
      <c r="B118" s="5"/>
      <c r="C118" s="12">
        <v>0</v>
      </c>
      <c r="D118" s="505"/>
      <c r="E118" s="14"/>
      <c r="F118" s="145"/>
      <c r="G118" s="66">
        <f t="shared" si="11"/>
        <v>0</v>
      </c>
      <c r="H118" s="118"/>
    </row>
    <row r="119" spans="1:8" x14ac:dyDescent="0.25">
      <c r="A119" s="13"/>
      <c r="B119" s="5"/>
      <c r="C119" s="12">
        <v>0</v>
      </c>
      <c r="D119" s="505"/>
      <c r="E119" s="14"/>
      <c r="F119" s="145"/>
      <c r="G119" s="66">
        <f t="shared" si="11"/>
        <v>0</v>
      </c>
      <c r="H119" s="118"/>
    </row>
    <row r="120" spans="1:8" x14ac:dyDescent="0.25">
      <c r="A120" s="13"/>
      <c r="B120" s="5"/>
      <c r="C120" s="12">
        <v>0</v>
      </c>
      <c r="D120" s="505"/>
      <c r="E120" s="14"/>
      <c r="F120" s="145"/>
      <c r="G120" s="66">
        <f t="shared" si="11"/>
        <v>0</v>
      </c>
      <c r="H120" s="118"/>
    </row>
    <row r="121" spans="1:8" x14ac:dyDescent="0.25">
      <c r="A121" s="13"/>
      <c r="B121" s="5"/>
      <c r="C121" s="12">
        <v>0</v>
      </c>
      <c r="D121" s="505"/>
      <c r="E121" s="14"/>
      <c r="F121" s="145"/>
      <c r="G121" s="66">
        <f t="shared" si="11"/>
        <v>0</v>
      </c>
      <c r="H121" s="118"/>
    </row>
    <row r="122" spans="1:8" x14ac:dyDescent="0.25">
      <c r="A122" s="13"/>
      <c r="B122" s="5"/>
      <c r="C122" s="12">
        <v>0</v>
      </c>
      <c r="D122" s="505"/>
      <c r="E122" s="14"/>
      <c r="F122" s="145"/>
      <c r="G122" s="66">
        <f t="shared" si="11"/>
        <v>0</v>
      </c>
      <c r="H122" s="118"/>
    </row>
    <row r="123" spans="1:8" x14ac:dyDescent="0.25">
      <c r="A123" s="15"/>
      <c r="B123" s="5"/>
      <c r="C123" s="12">
        <v>0</v>
      </c>
      <c r="D123" s="505"/>
      <c r="E123" s="14"/>
      <c r="F123" s="145"/>
      <c r="G123" s="66">
        <f t="shared" si="11"/>
        <v>0</v>
      </c>
      <c r="H123" s="118"/>
    </row>
    <row r="124" spans="1:8" x14ac:dyDescent="0.25">
      <c r="A124" s="15"/>
      <c r="B124" s="5"/>
      <c r="C124" s="12">
        <v>0</v>
      </c>
      <c r="D124" s="505"/>
      <c r="E124" s="14"/>
      <c r="F124" s="145"/>
      <c r="G124" s="66">
        <f t="shared" si="11"/>
        <v>0</v>
      </c>
      <c r="H124" s="118"/>
    </row>
    <row r="125" spans="1:8" x14ac:dyDescent="0.25">
      <c r="A125" s="15"/>
      <c r="B125" s="5"/>
      <c r="C125" s="12">
        <v>0</v>
      </c>
      <c r="D125" s="505"/>
      <c r="E125" s="14"/>
      <c r="F125" s="145"/>
      <c r="G125" s="66">
        <f t="shared" si="11"/>
        <v>0</v>
      </c>
      <c r="H125" s="118"/>
    </row>
    <row r="126" spans="1:8" ht="13" thickBot="1" x14ac:dyDescent="0.3">
      <c r="A126" s="16"/>
      <c r="B126" s="7"/>
      <c r="C126" s="17"/>
      <c r="D126" s="51"/>
      <c r="E126" s="18"/>
      <c r="F126" s="147"/>
      <c r="G126" s="148">
        <f t="shared" si="11"/>
        <v>0</v>
      </c>
      <c r="H126" s="118"/>
    </row>
    <row r="127" spans="1:8" ht="13" thickBot="1" x14ac:dyDescent="0.3">
      <c r="A127" s="118"/>
      <c r="B127" s="122"/>
      <c r="C127" s="120"/>
      <c r="D127" s="120"/>
      <c r="E127" s="120"/>
      <c r="F127" s="118"/>
      <c r="G127" s="118"/>
      <c r="H127" s="118"/>
    </row>
    <row r="128" spans="1:8" ht="13" thickBot="1" x14ac:dyDescent="0.3">
      <c r="A128" s="149" t="s">
        <v>316</v>
      </c>
      <c r="B128" s="8"/>
      <c r="C128" s="120"/>
      <c r="D128" s="120"/>
      <c r="E128" s="120"/>
      <c r="F128" s="150" t="s">
        <v>94</v>
      </c>
      <c r="G128" s="69">
        <f>SUM(G15:G126)</f>
        <v>0</v>
      </c>
      <c r="H128" s="118"/>
    </row>
    <row r="129" spans="1:9" x14ac:dyDescent="0.25">
      <c r="A129" s="149"/>
      <c r="B129" s="121"/>
      <c r="C129" s="120"/>
      <c r="D129" s="120"/>
      <c r="E129" s="120"/>
      <c r="F129" s="151" t="s">
        <v>317</v>
      </c>
      <c r="G129" s="70">
        <f>IF($B$128="Yes",0.05*G128,0)</f>
        <v>0</v>
      </c>
      <c r="H129" s="118"/>
    </row>
    <row r="130" spans="1:9" x14ac:dyDescent="0.25">
      <c r="A130" s="114"/>
      <c r="B130" s="152"/>
      <c r="C130" s="153"/>
      <c r="D130" s="153"/>
      <c r="E130" s="120"/>
      <c r="F130" s="150" t="s">
        <v>271</v>
      </c>
      <c r="G130" s="69">
        <f>0.15*(G128+G129)</f>
        <v>0</v>
      </c>
      <c r="H130" s="118"/>
    </row>
    <row r="131" spans="1:9" x14ac:dyDescent="0.25">
      <c r="A131" s="154"/>
      <c r="B131" s="152"/>
      <c r="C131" s="120"/>
      <c r="D131" s="120"/>
      <c r="E131" s="120"/>
      <c r="F131" s="150" t="s">
        <v>272</v>
      </c>
      <c r="G131" s="70">
        <f>0.12*(G128+G129+G130)</f>
        <v>0</v>
      </c>
      <c r="H131" s="118"/>
    </row>
    <row r="132" spans="1:9" x14ac:dyDescent="0.25">
      <c r="A132" s="118"/>
      <c r="B132" s="122"/>
      <c r="C132" s="120"/>
      <c r="D132" s="120"/>
      <c r="E132" s="120"/>
      <c r="F132" s="150" t="s">
        <v>273</v>
      </c>
      <c r="G132" s="69">
        <f>SUM(G128:G131)</f>
        <v>0</v>
      </c>
      <c r="H132" s="118"/>
    </row>
    <row r="133" spans="1:9" ht="13" thickBot="1" x14ac:dyDescent="0.3">
      <c r="A133" s="114"/>
      <c r="B133" s="152"/>
      <c r="C133" s="120"/>
      <c r="D133" s="120"/>
      <c r="E133" s="120"/>
      <c r="F133" s="150" t="s">
        <v>96</v>
      </c>
      <c r="G133" s="80">
        <f>IF(G128&gt;1,(IF((G128+G130)&lt;G149,B149,IF((G128+G130)&lt;G150,B149+(E149*((G128+G130)-G149)),IF((G128+G130)&lt;G151,B150+(E150*((G128+G130)-G150)),B151+(E151*((G128+G130)-G151)))))),0)</f>
        <v>0</v>
      </c>
      <c r="H133" s="118"/>
    </row>
    <row r="134" spans="1:9" ht="13.5" thickBot="1" x14ac:dyDescent="0.35">
      <c r="A134" s="118"/>
      <c r="B134" s="122"/>
      <c r="C134" s="120"/>
      <c r="D134" s="120"/>
      <c r="E134" s="120"/>
      <c r="F134" s="155" t="s">
        <v>274</v>
      </c>
      <c r="G134" s="71">
        <f>ROUNDUP(G132+G133,-2)</f>
        <v>0</v>
      </c>
      <c r="H134" s="118"/>
    </row>
    <row r="135" spans="1:9" x14ac:dyDescent="0.25">
      <c r="A135" s="118"/>
      <c r="B135" s="122"/>
      <c r="C135" s="120"/>
      <c r="D135" s="120"/>
      <c r="E135" s="156"/>
      <c r="F135" s="114"/>
      <c r="G135" s="157" t="s">
        <v>250</v>
      </c>
      <c r="H135" s="118"/>
    </row>
    <row r="136" spans="1:9" x14ac:dyDescent="0.25">
      <c r="A136" s="118"/>
      <c r="B136" s="122"/>
      <c r="C136" s="120"/>
      <c r="D136" s="120"/>
      <c r="E136" s="156"/>
      <c r="F136" s="114"/>
      <c r="G136" s="158"/>
      <c r="H136" s="118"/>
    </row>
    <row r="137" spans="1:9" x14ac:dyDescent="0.25">
      <c r="A137" s="159"/>
      <c r="B137" s="160"/>
      <c r="C137" s="161"/>
      <c r="D137" s="161"/>
      <c r="E137" s="161"/>
      <c r="F137" s="144"/>
      <c r="G137" s="145"/>
      <c r="H137" s="118"/>
    </row>
    <row r="138" spans="1:9" ht="13" x14ac:dyDescent="0.3">
      <c r="A138" s="162" t="s">
        <v>98</v>
      </c>
      <c r="B138" s="163"/>
      <c r="C138" s="164"/>
      <c r="D138" s="164"/>
      <c r="E138" s="164"/>
      <c r="F138" s="165"/>
      <c r="G138" s="166"/>
      <c r="H138" s="118"/>
    </row>
    <row r="139" spans="1:9" x14ac:dyDescent="0.25">
      <c r="A139" s="167"/>
      <c r="B139" s="152"/>
      <c r="C139" s="164"/>
      <c r="D139" s="164"/>
      <c r="E139" s="164"/>
      <c r="F139" s="165"/>
      <c r="G139" s="166"/>
      <c r="H139" s="118"/>
    </row>
    <row r="140" spans="1:9" ht="13" thickBot="1" x14ac:dyDescent="0.3">
      <c r="A140" s="167"/>
      <c r="B140" s="163"/>
      <c r="C140" s="164"/>
      <c r="D140" s="164"/>
      <c r="E140" s="150" t="s">
        <v>318</v>
      </c>
      <c r="F140" s="70">
        <f>G132-G131-G129</f>
        <v>0</v>
      </c>
      <c r="G140" s="166"/>
      <c r="H140" s="118"/>
      <c r="I140" s="168"/>
    </row>
    <row r="141" spans="1:9" ht="13.5" thickBot="1" x14ac:dyDescent="0.35">
      <c r="A141" s="167"/>
      <c r="B141" s="163"/>
      <c r="C141" s="164"/>
      <c r="D141" s="164"/>
      <c r="E141" s="169" t="s">
        <v>275</v>
      </c>
      <c r="F141" s="81">
        <f>ROUND(IF(F140&gt;1,(IF(F140&lt;G160,B159,IF(F140&lt;G161,B160+E160*(F140-G160),IF(F140&lt;G162,B161+E161*(F140-G161),IF(F140&lt;G163,B162+E162*(F140-G162),IF(F140&lt;G164,B163+E163*(F140-G163),B164+E164*(F140-G164))))))),0),0)</f>
        <v>0</v>
      </c>
      <c r="G141" s="166"/>
      <c r="H141" s="118"/>
    </row>
    <row r="142" spans="1:9" x14ac:dyDescent="0.25">
      <c r="A142" s="170"/>
      <c r="B142" s="171"/>
      <c r="C142" s="172"/>
      <c r="D142" s="172"/>
      <c r="E142" s="172"/>
      <c r="F142" s="173"/>
      <c r="G142" s="174"/>
      <c r="H142" s="118"/>
    </row>
    <row r="143" spans="1:9" x14ac:dyDescent="0.25">
      <c r="A143" s="165"/>
      <c r="B143" s="163"/>
      <c r="C143" s="164"/>
      <c r="D143" s="164"/>
      <c r="E143" s="164"/>
      <c r="F143" s="165"/>
      <c r="G143" s="165"/>
      <c r="H143" s="118"/>
    </row>
    <row r="144" spans="1:9" ht="13" thickBot="1" x14ac:dyDescent="0.3">
      <c r="A144" s="165"/>
      <c r="B144" s="163"/>
      <c r="C144" s="164"/>
      <c r="D144" s="164"/>
      <c r="E144" s="164"/>
      <c r="F144" s="165"/>
      <c r="G144" s="165"/>
      <c r="H144" s="118"/>
    </row>
    <row r="145" spans="1:9" ht="13" thickBot="1" x14ac:dyDescent="0.3">
      <c r="A145" s="175"/>
      <c r="B145" s="176" t="s">
        <v>243</v>
      </c>
      <c r="C145" s="177"/>
      <c r="D145" s="177"/>
      <c r="E145" s="177"/>
      <c r="F145" s="177"/>
      <c r="G145" s="178"/>
      <c r="H145" s="165"/>
      <c r="I145" s="118"/>
    </row>
    <row r="146" spans="1:9" x14ac:dyDescent="0.25">
      <c r="A146" s="179"/>
      <c r="B146" s="163"/>
      <c r="C146" s="180"/>
      <c r="D146" s="180"/>
      <c r="E146" s="180"/>
      <c r="F146" s="164"/>
      <c r="G146" s="181"/>
      <c r="H146" s="118"/>
      <c r="I146" s="118"/>
    </row>
    <row r="147" spans="1:9" x14ac:dyDescent="0.25">
      <c r="A147" s="179" t="s">
        <v>535</v>
      </c>
      <c r="B147" s="163"/>
      <c r="C147" s="180" t="s">
        <v>97</v>
      </c>
      <c r="D147" s="180"/>
      <c r="E147" s="164"/>
      <c r="F147" s="164"/>
      <c r="G147" s="181"/>
      <c r="H147" s="118"/>
      <c r="I147" s="118"/>
    </row>
    <row r="148" spans="1:9" x14ac:dyDescent="0.25">
      <c r="A148" s="182"/>
      <c r="B148" s="183"/>
      <c r="C148" s="183"/>
      <c r="D148" s="183"/>
      <c r="E148" s="183"/>
      <c r="F148" s="183"/>
      <c r="G148" s="181"/>
      <c r="H148" s="118"/>
      <c r="I148" s="118"/>
    </row>
    <row r="149" spans="1:9" x14ac:dyDescent="0.25">
      <c r="A149" s="182" t="s">
        <v>337</v>
      </c>
      <c r="B149" s="183">
        <v>1291</v>
      </c>
      <c r="C149" s="184" t="s">
        <v>246</v>
      </c>
      <c r="D149" s="184"/>
      <c r="E149" s="207">
        <v>0.26429999999999998</v>
      </c>
      <c r="F149" s="185" t="s">
        <v>207</v>
      </c>
      <c r="G149" s="208">
        <v>2000</v>
      </c>
      <c r="H149" s="101"/>
      <c r="I149" s="118"/>
    </row>
    <row r="150" spans="1:9" x14ac:dyDescent="0.25">
      <c r="A150" s="182" t="s">
        <v>214</v>
      </c>
      <c r="B150" s="183">
        <v>27193</v>
      </c>
      <c r="C150" s="184" t="s">
        <v>246</v>
      </c>
      <c r="D150" s="184"/>
      <c r="E150" s="207">
        <v>8.77E-2</v>
      </c>
      <c r="F150" s="185" t="s">
        <v>207</v>
      </c>
      <c r="G150" s="208">
        <v>100000</v>
      </c>
      <c r="H150" s="101"/>
      <c r="I150" s="118"/>
    </row>
    <row r="151" spans="1:9" ht="13" thickBot="1" x14ac:dyDescent="0.3">
      <c r="A151" s="186" t="s">
        <v>215</v>
      </c>
      <c r="B151" s="209">
        <v>62273</v>
      </c>
      <c r="C151" s="187" t="s">
        <v>246</v>
      </c>
      <c r="D151" s="187"/>
      <c r="E151" s="210">
        <v>6.6199999999999995E-2</v>
      </c>
      <c r="F151" s="188" t="s">
        <v>207</v>
      </c>
      <c r="G151" s="211">
        <v>500000</v>
      </c>
      <c r="H151" s="101"/>
      <c r="I151" s="118"/>
    </row>
    <row r="152" spans="1:9" ht="15.5" x14ac:dyDescent="0.25">
      <c r="A152" s="189" t="s">
        <v>245</v>
      </c>
      <c r="B152" s="190"/>
      <c r="C152" s="191"/>
      <c r="D152" s="191"/>
      <c r="E152" s="191"/>
      <c r="F152" s="192"/>
      <c r="G152" s="101"/>
      <c r="H152" s="101"/>
    </row>
    <row r="153" spans="1:9" ht="15.5" x14ac:dyDescent="0.25">
      <c r="A153" s="193" t="s">
        <v>338</v>
      </c>
      <c r="B153" s="190"/>
      <c r="C153" s="191"/>
      <c r="D153" s="191"/>
      <c r="E153" s="191"/>
      <c r="F153" s="192"/>
      <c r="G153" s="101"/>
      <c r="H153" s="101"/>
    </row>
    <row r="154" spans="1:9" x14ac:dyDescent="0.25">
      <c r="A154" s="101"/>
      <c r="B154" s="190"/>
      <c r="C154" s="191"/>
      <c r="D154" s="191"/>
      <c r="E154" s="191"/>
      <c r="F154" s="192"/>
      <c r="G154" s="101"/>
      <c r="H154" s="101"/>
    </row>
    <row r="155" spans="1:9" ht="13" thickBot="1" x14ac:dyDescent="0.3">
      <c r="A155" s="101"/>
      <c r="B155" s="190"/>
      <c r="C155" s="191"/>
      <c r="D155" s="191"/>
      <c r="E155" s="191"/>
      <c r="F155" s="192"/>
      <c r="G155" s="101"/>
      <c r="H155" s="101"/>
    </row>
    <row r="156" spans="1:9" ht="13" thickBot="1" x14ac:dyDescent="0.3">
      <c r="A156" s="212"/>
      <c r="B156" s="194" t="s">
        <v>95</v>
      </c>
      <c r="C156" s="195"/>
      <c r="D156" s="195"/>
      <c r="E156" s="195"/>
      <c r="F156" s="196"/>
      <c r="G156" s="213"/>
      <c r="H156" s="101"/>
      <c r="I156" s="118"/>
    </row>
    <row r="157" spans="1:9" x14ac:dyDescent="0.25">
      <c r="A157" s="214" t="s">
        <v>323</v>
      </c>
      <c r="B157" s="152"/>
      <c r="C157" s="197" t="s">
        <v>324</v>
      </c>
      <c r="D157" s="197"/>
      <c r="E157" s="197"/>
      <c r="F157" s="185"/>
      <c r="G157" s="215"/>
      <c r="H157" s="101"/>
      <c r="I157" s="118"/>
    </row>
    <row r="158" spans="1:9" x14ac:dyDescent="0.25">
      <c r="A158" s="214"/>
      <c r="B158" s="152"/>
      <c r="C158" s="183"/>
      <c r="D158" s="183"/>
      <c r="E158" s="183"/>
      <c r="F158" s="185"/>
      <c r="G158" s="215"/>
      <c r="H158" s="101"/>
      <c r="I158" s="118"/>
    </row>
    <row r="159" spans="1:9" x14ac:dyDescent="0.25">
      <c r="A159" s="216" t="s">
        <v>208</v>
      </c>
      <c r="B159" s="198">
        <v>6543</v>
      </c>
      <c r="C159" s="198"/>
      <c r="D159" s="198"/>
      <c r="E159" s="198"/>
      <c r="F159" s="185"/>
      <c r="G159" s="215"/>
      <c r="H159" s="101"/>
      <c r="I159" s="118"/>
    </row>
    <row r="160" spans="1:9" x14ac:dyDescent="0.25">
      <c r="A160" s="216" t="s">
        <v>209</v>
      </c>
      <c r="B160" s="198">
        <v>6543</v>
      </c>
      <c r="C160" s="199" t="s">
        <v>246</v>
      </c>
      <c r="D160" s="199"/>
      <c r="E160" s="217">
        <v>0.1477</v>
      </c>
      <c r="F160" s="200" t="s">
        <v>207</v>
      </c>
      <c r="G160" s="218">
        <v>10000</v>
      </c>
      <c r="H160" s="101"/>
      <c r="I160" s="118"/>
    </row>
    <row r="161" spans="1:9" x14ac:dyDescent="0.25">
      <c r="A161" s="216" t="s">
        <v>210</v>
      </c>
      <c r="B161" s="198">
        <v>12451</v>
      </c>
      <c r="C161" s="199" t="s">
        <v>246</v>
      </c>
      <c r="D161" s="199"/>
      <c r="E161" s="219">
        <v>8.4400000000000003E-2</v>
      </c>
      <c r="F161" s="185" t="s">
        <v>207</v>
      </c>
      <c r="G161" s="208">
        <v>50000</v>
      </c>
      <c r="H161" s="101"/>
      <c r="I161" s="118"/>
    </row>
    <row r="162" spans="1:9" x14ac:dyDescent="0.25">
      <c r="A162" s="216" t="s">
        <v>197</v>
      </c>
      <c r="B162" s="198">
        <v>16671</v>
      </c>
      <c r="C162" s="199" t="s">
        <v>246</v>
      </c>
      <c r="D162" s="199"/>
      <c r="E162" s="219">
        <v>5.67E-2</v>
      </c>
      <c r="F162" s="200" t="s">
        <v>207</v>
      </c>
      <c r="G162" s="218">
        <v>100000</v>
      </c>
      <c r="H162" s="101"/>
      <c r="I162" s="118"/>
    </row>
    <row r="163" spans="1:9" x14ac:dyDescent="0.25">
      <c r="A163" s="216" t="s">
        <v>211</v>
      </c>
      <c r="B163" s="198">
        <v>39351</v>
      </c>
      <c r="C163" s="199" t="s">
        <v>246</v>
      </c>
      <c r="D163" s="199"/>
      <c r="E163" s="219">
        <v>2.0299999999999999E-2</v>
      </c>
      <c r="F163" s="200" t="s">
        <v>207</v>
      </c>
      <c r="G163" s="218">
        <v>500000</v>
      </c>
      <c r="H163" s="101"/>
      <c r="I163" s="118"/>
    </row>
    <row r="164" spans="1:9" ht="13" thickBot="1" x14ac:dyDescent="0.3">
      <c r="A164" s="220" t="s">
        <v>241</v>
      </c>
      <c r="B164" s="221">
        <v>49501</v>
      </c>
      <c r="C164" s="201" t="s">
        <v>246</v>
      </c>
      <c r="D164" s="201"/>
      <c r="E164" s="222">
        <v>3.5000000000000001E-3</v>
      </c>
      <c r="F164" s="202" t="s">
        <v>207</v>
      </c>
      <c r="G164" s="223">
        <v>1000000</v>
      </c>
      <c r="H164" s="101"/>
      <c r="I164" s="118"/>
    </row>
    <row r="165" spans="1:9" x14ac:dyDescent="0.25">
      <c r="A165" s="101"/>
      <c r="B165" s="190"/>
      <c r="C165" s="191"/>
      <c r="D165" s="191"/>
      <c r="E165" s="191"/>
      <c r="F165" s="101"/>
      <c r="G165" s="101"/>
      <c r="H165" s="101"/>
    </row>
    <row r="166" spans="1:9" x14ac:dyDescent="0.25">
      <c r="A166" s="82" t="s">
        <v>212</v>
      </c>
      <c r="B166" s="190"/>
      <c r="C166" s="191"/>
      <c r="D166" s="191"/>
      <c r="E166" s="191"/>
      <c r="F166" s="101"/>
      <c r="G166" s="101"/>
      <c r="H166" s="101"/>
    </row>
    <row r="167" spans="1:9" x14ac:dyDescent="0.25">
      <c r="A167" s="224" t="s">
        <v>572</v>
      </c>
      <c r="B167" s="190"/>
      <c r="C167" s="191"/>
      <c r="D167" s="191"/>
      <c r="E167" s="191"/>
      <c r="F167" s="101"/>
      <c r="G167" s="101"/>
      <c r="H167" s="101"/>
    </row>
    <row r="168" spans="1:9" x14ac:dyDescent="0.25">
      <c r="A168" s="82" t="s">
        <v>213</v>
      </c>
      <c r="B168" s="203"/>
      <c r="C168" s="204"/>
      <c r="D168" s="204"/>
      <c r="E168" s="204"/>
      <c r="F168" s="116"/>
      <c r="G168" s="116"/>
      <c r="H168" s="116"/>
    </row>
    <row r="169" spans="1:9" x14ac:dyDescent="0.25">
      <c r="A169" s="116"/>
      <c r="B169" s="203"/>
      <c r="C169" s="204"/>
      <c r="D169" s="204"/>
      <c r="E169" s="204"/>
      <c r="F169" s="116"/>
      <c r="G169" s="116"/>
      <c r="H169" s="116"/>
    </row>
    <row r="170" spans="1:9" x14ac:dyDescent="0.25">
      <c r="A170" s="116"/>
      <c r="B170" s="203"/>
      <c r="C170" s="204"/>
      <c r="D170" s="204"/>
      <c r="E170" s="204"/>
      <c r="F170" s="116"/>
      <c r="G170" s="116"/>
      <c r="H170" s="116"/>
    </row>
    <row r="171" spans="1:9" hidden="1" x14ac:dyDescent="0.25">
      <c r="A171" t="s">
        <v>552</v>
      </c>
      <c r="B171" s="517">
        <f>PRODUCT(Instructions!D12:D36)</f>
        <v>1.2033834045114695</v>
      </c>
      <c r="C171" s="204"/>
      <c r="D171" s="204"/>
      <c r="E171" s="204"/>
      <c r="F171" s="116"/>
      <c r="G171" s="116"/>
      <c r="H171" s="116"/>
    </row>
    <row r="172" spans="1:9" x14ac:dyDescent="0.25">
      <c r="A172" s="116"/>
      <c r="B172" s="203"/>
      <c r="C172" s="204"/>
      <c r="D172" s="204"/>
      <c r="E172" s="204"/>
      <c r="F172" s="116"/>
      <c r="G172" s="116"/>
      <c r="H172" s="116"/>
    </row>
    <row r="173" spans="1:9" x14ac:dyDescent="0.25">
      <c r="A173" s="116"/>
      <c r="B173" s="203"/>
      <c r="C173" s="204"/>
      <c r="D173" s="204"/>
      <c r="E173" s="204"/>
      <c r="F173" s="116"/>
      <c r="G173" s="116"/>
      <c r="H173" s="116"/>
    </row>
  </sheetData>
  <sheetProtection algorithmName="SHA-512" hashValue="TFjrkdb+VPmx3LN5l9AIb91UCnpVzzEs56I2eYUqc5r3FSdGBTnssosLVSY1SehZMXXWf+grhdUkhFhxWqFfPg==" saltValue="RKbIg0QTWkAJ5Pcc+/9cNg==" spinCount="100000" sheet="1" insertRows="0" selectLockedCells="1"/>
  <customSheetViews>
    <customSheetView guid="{0CFDFAE3-BA5A-49B1-8AEF-ACE06B5A41A2}">
      <rowBreaks count="1" manualBreakCount="1">
        <brk id="62" max="5" man="1"/>
      </rowBreaks>
      <pageMargins left="0" right="0" top="0.51" bottom="0.17" header="0.23" footer="0.18"/>
      <printOptions horizontalCentered="1"/>
      <pageSetup scale="93" orientation="portrait" r:id="rId1"/>
      <headerFooter alignWithMargins="0">
        <oddFooter>&amp;LFees Effective 07/01/2011&amp;RPage &amp;P of &amp;N</oddFooter>
      </headerFooter>
    </customSheetView>
  </customSheetViews>
  <mergeCells count="2">
    <mergeCell ref="C12:F12"/>
    <mergeCell ref="C13:E13"/>
  </mergeCells>
  <phoneticPr fontId="0" type="noConversion"/>
  <dataValidations disablePrompts="1" count="1">
    <dataValidation type="list" allowBlank="1" showInputMessage="1" showErrorMessage="1" sqref="B128" xr:uid="{00000000-0002-0000-0400-000000000000}">
      <formula1>"Yes,No"</formula1>
    </dataValidation>
  </dataValidations>
  <printOptions horizontalCentered="1"/>
  <pageMargins left="0" right="0" top="0.51" bottom="0.4" header="0.23" footer="0.17"/>
  <pageSetup scale="95" fitToHeight="30" orientation="portrait" r:id="rId2"/>
  <headerFooter alignWithMargins="0">
    <oddHeader>&amp;RPage &amp;P of &amp;N</oddHeader>
    <oddFooter>&amp;LFees Effective 07/01/2023</oddFooter>
    <evenFooter>Page &amp;P of &amp;N</evenFooter>
  </headerFooter>
  <rowBreaks count="2" manualBreakCount="2">
    <brk id="90" max="5" man="1"/>
    <brk id="136" max="5" man="1"/>
  </rowBreak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121"/>
  <sheetViews>
    <sheetView topLeftCell="A3" zoomScaleNormal="100" zoomScaleSheetLayoutView="115" workbookViewId="0">
      <selection activeCell="B47" sqref="B47"/>
    </sheetView>
  </sheetViews>
  <sheetFormatPr defaultColWidth="9.08984375" defaultRowHeight="12.5" x14ac:dyDescent="0.25"/>
  <cols>
    <col min="1" max="1" width="48" style="121" customWidth="1"/>
    <col min="2" max="2" width="11.453125" style="205" bestFit="1" customWidth="1"/>
    <col min="3" max="3" width="12.54296875" style="436" customWidth="1"/>
    <col min="4" max="4" width="12.54296875" style="436" hidden="1" customWidth="1"/>
    <col min="5" max="5" width="7.90625" style="436" customWidth="1"/>
    <col min="6" max="6" width="15.08984375" style="121" customWidth="1"/>
    <col min="7" max="7" width="14.08984375" style="121" customWidth="1"/>
    <col min="8" max="9" width="9.08984375" style="121"/>
    <col min="10" max="10" width="10.36328125" style="121" bestFit="1" customWidth="1"/>
    <col min="11" max="16384" width="9.08984375" style="121"/>
  </cols>
  <sheetData>
    <row r="1" spans="1:10" ht="13" x14ac:dyDescent="0.3">
      <c r="A1" s="118"/>
      <c r="B1" s="119"/>
      <c r="C1" s="120"/>
      <c r="D1" s="120"/>
      <c r="E1" s="120"/>
      <c r="F1" s="118"/>
      <c r="G1" s="118"/>
      <c r="H1" s="118"/>
    </row>
    <row r="2" spans="1:10" ht="13" x14ac:dyDescent="0.3">
      <c r="A2" s="118"/>
      <c r="B2" s="119"/>
      <c r="C2" s="120"/>
      <c r="D2" s="120"/>
      <c r="E2" s="120"/>
      <c r="F2" s="118"/>
      <c r="G2" s="118"/>
      <c r="H2" s="118"/>
    </row>
    <row r="3" spans="1:10" x14ac:dyDescent="0.25">
      <c r="A3" s="118"/>
      <c r="B3" s="122"/>
      <c r="C3" s="120"/>
      <c r="D3" s="120"/>
      <c r="E3" s="120"/>
      <c r="F3" s="118"/>
      <c r="G3" s="118"/>
      <c r="H3" s="118"/>
    </row>
    <row r="4" spans="1:10" x14ac:dyDescent="0.25">
      <c r="A4" s="118"/>
      <c r="B4" s="122"/>
      <c r="C4" s="120"/>
      <c r="D4" s="120"/>
      <c r="E4" s="120"/>
      <c r="F4" s="118"/>
      <c r="G4" s="118"/>
      <c r="H4" s="118"/>
    </row>
    <row r="5" spans="1:10" x14ac:dyDescent="0.25">
      <c r="A5" s="118"/>
      <c r="B5" s="122"/>
      <c r="C5" s="120"/>
      <c r="D5" s="120"/>
      <c r="E5" s="120"/>
      <c r="F5" s="118"/>
      <c r="G5" s="118"/>
      <c r="H5" s="118"/>
    </row>
    <row r="6" spans="1:10" x14ac:dyDescent="0.25">
      <c r="A6" s="118"/>
      <c r="B6" s="122"/>
      <c r="C6" s="120"/>
      <c r="D6" s="120"/>
      <c r="E6" s="120"/>
      <c r="F6" s="118"/>
      <c r="G6" s="118"/>
      <c r="H6" s="118"/>
    </row>
    <row r="7" spans="1:10" x14ac:dyDescent="0.25">
      <c r="A7" s="118"/>
      <c r="B7" s="122"/>
      <c r="C7" s="120"/>
      <c r="D7" s="120"/>
      <c r="E7" s="120"/>
      <c r="F7" s="118"/>
      <c r="G7" s="118"/>
      <c r="H7" s="118"/>
    </row>
    <row r="8" spans="1:10" x14ac:dyDescent="0.25">
      <c r="A8" s="118"/>
      <c r="B8" s="122"/>
      <c r="C8" s="120"/>
      <c r="D8" s="120"/>
      <c r="E8" s="120"/>
      <c r="F8" s="118"/>
      <c r="G8" s="118"/>
      <c r="H8" s="118"/>
    </row>
    <row r="9" spans="1:10" x14ac:dyDescent="0.25">
      <c r="A9" s="118"/>
      <c r="B9" s="122"/>
      <c r="C9" s="120"/>
      <c r="D9" s="120"/>
      <c r="E9" s="120"/>
      <c r="F9" s="118"/>
      <c r="G9" s="118"/>
      <c r="H9" s="118"/>
    </row>
    <row r="10" spans="1:10" ht="13" thickBot="1" x14ac:dyDescent="0.3">
      <c r="A10" s="118"/>
      <c r="B10" s="122"/>
      <c r="C10" s="120"/>
      <c r="D10" s="120"/>
      <c r="E10" s="120"/>
      <c r="F10" s="118"/>
      <c r="G10" s="118"/>
      <c r="H10" s="118"/>
    </row>
    <row r="11" spans="1:10" ht="13" thickBot="1" x14ac:dyDescent="0.3">
      <c r="A11" s="118"/>
      <c r="B11" s="122"/>
      <c r="C11" s="120"/>
      <c r="D11" s="120"/>
      <c r="E11" s="120"/>
      <c r="F11" s="118"/>
      <c r="G11" s="118"/>
      <c r="H11" s="118"/>
    </row>
    <row r="12" spans="1:10" ht="13.5" thickBot="1" x14ac:dyDescent="0.35">
      <c r="A12" s="123" t="s">
        <v>0</v>
      </c>
      <c r="B12" s="124" t="s">
        <v>1</v>
      </c>
      <c r="C12" s="604" t="s">
        <v>2</v>
      </c>
      <c r="D12" s="605"/>
      <c r="E12" s="605"/>
      <c r="F12" s="606"/>
      <c r="G12" s="123" t="s">
        <v>3</v>
      </c>
      <c r="H12" s="118"/>
    </row>
    <row r="13" spans="1:10" x14ac:dyDescent="0.25">
      <c r="A13" s="125"/>
      <c r="B13" s="126"/>
      <c r="C13" s="570"/>
      <c r="D13" s="571"/>
      <c r="E13" s="572"/>
      <c r="F13" s="96"/>
      <c r="G13" s="127"/>
      <c r="H13" s="118"/>
    </row>
    <row r="14" spans="1:10" x14ac:dyDescent="0.25">
      <c r="A14" s="128" t="s">
        <v>99</v>
      </c>
      <c r="B14" s="129"/>
      <c r="C14" s="130"/>
      <c r="D14" s="141"/>
      <c r="E14" s="131"/>
      <c r="F14" s="132"/>
      <c r="G14" s="66"/>
      <c r="H14" s="118"/>
      <c r="J14" s="239"/>
    </row>
    <row r="15" spans="1:10" x14ac:dyDescent="0.25">
      <c r="A15" s="128" t="s">
        <v>100</v>
      </c>
      <c r="B15" s="4"/>
      <c r="C15" s="68">
        <f t="shared" ref="C15:C21" si="0">ROUND(CPI*D15,2)</f>
        <v>112.26</v>
      </c>
      <c r="D15" s="68">
        <v>84.01</v>
      </c>
      <c r="E15" s="131" t="s">
        <v>58</v>
      </c>
      <c r="F15" s="133"/>
      <c r="G15" s="66">
        <f t="shared" ref="G15:G22" si="1">B15*C15</f>
        <v>0</v>
      </c>
      <c r="H15" s="118"/>
      <c r="J15" s="164"/>
    </row>
    <row r="16" spans="1:10" x14ac:dyDescent="0.25">
      <c r="A16" s="128" t="s">
        <v>101</v>
      </c>
      <c r="B16" s="4"/>
      <c r="C16" s="68">
        <f t="shared" si="0"/>
        <v>115.25</v>
      </c>
      <c r="D16" s="68">
        <v>86.25</v>
      </c>
      <c r="E16" s="131" t="s">
        <v>58</v>
      </c>
      <c r="F16" s="133"/>
      <c r="G16" s="66">
        <f t="shared" si="1"/>
        <v>0</v>
      </c>
      <c r="H16" s="118"/>
      <c r="J16" s="164"/>
    </row>
    <row r="17" spans="1:23" x14ac:dyDescent="0.25">
      <c r="A17" s="128" t="s">
        <v>102</v>
      </c>
      <c r="B17" s="4"/>
      <c r="C17" s="68">
        <f t="shared" si="0"/>
        <v>122.45</v>
      </c>
      <c r="D17" s="68">
        <v>91.64</v>
      </c>
      <c r="E17" s="131" t="s">
        <v>58</v>
      </c>
      <c r="F17" s="133"/>
      <c r="G17" s="66">
        <f t="shared" si="1"/>
        <v>0</v>
      </c>
      <c r="H17" s="118"/>
      <c r="J17" s="164"/>
    </row>
    <row r="18" spans="1:23" x14ac:dyDescent="0.25">
      <c r="A18" s="128" t="s">
        <v>103</v>
      </c>
      <c r="B18" s="4"/>
      <c r="C18" s="68">
        <f t="shared" si="0"/>
        <v>129.66</v>
      </c>
      <c r="D18" s="68">
        <v>97.03</v>
      </c>
      <c r="E18" s="131" t="s">
        <v>58</v>
      </c>
      <c r="F18" s="133"/>
      <c r="G18" s="66">
        <f t="shared" si="1"/>
        <v>0</v>
      </c>
      <c r="H18" s="118"/>
      <c r="J18" s="164"/>
    </row>
    <row r="19" spans="1:23" x14ac:dyDescent="0.25">
      <c r="A19" s="128" t="s">
        <v>104</v>
      </c>
      <c r="B19" s="4"/>
      <c r="C19" s="68">
        <f t="shared" si="0"/>
        <v>136.86000000000001</v>
      </c>
      <c r="D19" s="68">
        <v>102.42</v>
      </c>
      <c r="E19" s="131" t="s">
        <v>58</v>
      </c>
      <c r="F19" s="133"/>
      <c r="G19" s="66">
        <f t="shared" si="1"/>
        <v>0</v>
      </c>
      <c r="H19" s="118"/>
      <c r="J19" s="164"/>
    </row>
    <row r="20" spans="1:23" x14ac:dyDescent="0.25">
      <c r="A20" s="128" t="s">
        <v>105</v>
      </c>
      <c r="B20" s="4"/>
      <c r="C20" s="68">
        <f t="shared" si="0"/>
        <v>144.06</v>
      </c>
      <c r="D20" s="68">
        <v>107.81</v>
      </c>
      <c r="E20" s="131" t="s">
        <v>58</v>
      </c>
      <c r="F20" s="133"/>
      <c r="G20" s="66">
        <f t="shared" si="1"/>
        <v>0</v>
      </c>
      <c r="H20" s="118"/>
      <c r="J20" s="164"/>
    </row>
    <row r="21" spans="1:23" x14ac:dyDescent="0.25">
      <c r="A21" s="128" t="s">
        <v>106</v>
      </c>
      <c r="B21" s="4"/>
      <c r="C21" s="68">
        <f t="shared" si="0"/>
        <v>151.28</v>
      </c>
      <c r="D21" s="68">
        <v>113.21</v>
      </c>
      <c r="E21" s="131" t="s">
        <v>58</v>
      </c>
      <c r="F21" s="133"/>
      <c r="G21" s="66">
        <f t="shared" si="1"/>
        <v>0</v>
      </c>
      <c r="H21" s="118"/>
      <c r="J21" s="164"/>
    </row>
    <row r="22" spans="1:23" x14ac:dyDescent="0.25">
      <c r="A22" s="23"/>
      <c r="B22" s="4"/>
      <c r="C22" s="60">
        <v>0</v>
      </c>
      <c r="D22" s="68"/>
      <c r="E22" s="131" t="s">
        <v>58</v>
      </c>
      <c r="F22" s="133"/>
      <c r="G22" s="66">
        <f t="shared" si="1"/>
        <v>0</v>
      </c>
      <c r="H22" s="118"/>
      <c r="J22" s="164"/>
    </row>
    <row r="23" spans="1:23" x14ac:dyDescent="0.25">
      <c r="A23" s="128"/>
      <c r="B23" s="129"/>
      <c r="C23" s="130"/>
      <c r="D23" s="68"/>
      <c r="E23" s="131"/>
      <c r="F23" s="132"/>
      <c r="G23" s="66"/>
      <c r="H23" s="118"/>
      <c r="J23" s="164"/>
    </row>
    <row r="24" spans="1:23" x14ac:dyDescent="0.25">
      <c r="A24" s="128" t="s">
        <v>107</v>
      </c>
      <c r="B24" s="129"/>
      <c r="C24" s="130"/>
      <c r="D24" s="68"/>
      <c r="E24" s="131"/>
      <c r="F24" s="132"/>
      <c r="G24" s="66"/>
      <c r="H24" s="118"/>
      <c r="J24" s="164"/>
    </row>
    <row r="25" spans="1:23" x14ac:dyDescent="0.25">
      <c r="A25" s="128" t="s">
        <v>108</v>
      </c>
      <c r="B25" s="4"/>
      <c r="C25" s="68">
        <f>ROUND(CPI*D25,2)</f>
        <v>7203.35</v>
      </c>
      <c r="D25" s="68">
        <v>5390.73</v>
      </c>
      <c r="E25" s="131" t="s">
        <v>57</v>
      </c>
      <c r="F25" s="133"/>
      <c r="G25" s="66">
        <f t="shared" ref="G25:G42" si="2">B25*C25</f>
        <v>0</v>
      </c>
      <c r="H25" s="114"/>
      <c r="I25" s="134"/>
      <c r="J25" s="164"/>
      <c r="K25" s="134"/>
      <c r="L25" s="134"/>
      <c r="M25" s="134"/>
      <c r="N25" s="134"/>
      <c r="O25" s="134"/>
      <c r="P25" s="134"/>
      <c r="Q25" s="134"/>
      <c r="R25" s="134"/>
      <c r="S25" s="134"/>
      <c r="T25" s="134"/>
      <c r="U25" s="134"/>
      <c r="V25" s="134"/>
      <c r="W25" s="134"/>
    </row>
    <row r="26" spans="1:23" x14ac:dyDescent="0.25">
      <c r="A26" s="128" t="s">
        <v>109</v>
      </c>
      <c r="B26" s="4"/>
      <c r="C26" s="68">
        <f>ROUND(CPI*D26,2)</f>
        <v>2881.34</v>
      </c>
      <c r="D26" s="68">
        <v>2156.29</v>
      </c>
      <c r="E26" s="131" t="s">
        <v>57</v>
      </c>
      <c r="F26" s="133"/>
      <c r="G26" s="66">
        <f t="shared" si="2"/>
        <v>0</v>
      </c>
      <c r="H26" s="114"/>
      <c r="I26" s="134"/>
      <c r="J26" s="164"/>
      <c r="K26" s="134"/>
      <c r="L26" s="134"/>
      <c r="M26" s="134"/>
      <c r="N26" s="134"/>
      <c r="O26" s="134"/>
      <c r="P26" s="134"/>
      <c r="Q26" s="134"/>
      <c r="R26" s="134"/>
      <c r="S26" s="134"/>
      <c r="T26" s="134"/>
      <c r="U26" s="134"/>
      <c r="V26" s="134"/>
      <c r="W26" s="134"/>
    </row>
    <row r="27" spans="1:23" x14ac:dyDescent="0.25">
      <c r="A27" s="23"/>
      <c r="B27" s="4"/>
      <c r="C27" s="60">
        <v>0</v>
      </c>
      <c r="D27" s="68"/>
      <c r="E27" s="131" t="s">
        <v>58</v>
      </c>
      <c r="F27" s="133"/>
      <c r="G27" s="66">
        <f t="shared" si="2"/>
        <v>0</v>
      </c>
      <c r="H27" s="118"/>
      <c r="J27" s="164"/>
    </row>
    <row r="28" spans="1:23" x14ac:dyDescent="0.25">
      <c r="A28" s="128"/>
      <c r="B28" s="135"/>
      <c r="C28" s="130"/>
      <c r="D28" s="68"/>
      <c r="E28" s="131"/>
      <c r="F28" s="133"/>
      <c r="G28" s="66"/>
      <c r="H28" s="137"/>
      <c r="I28" s="138"/>
      <c r="J28" s="164"/>
      <c r="K28" s="134"/>
      <c r="L28" s="138"/>
      <c r="M28" s="134"/>
      <c r="N28" s="134"/>
      <c r="O28" s="138"/>
      <c r="P28" s="134"/>
      <c r="Q28" s="134"/>
      <c r="R28" s="138"/>
      <c r="S28" s="134"/>
      <c r="T28" s="134"/>
      <c r="U28" s="138"/>
      <c r="V28" s="134"/>
      <c r="W28" s="134"/>
    </row>
    <row r="29" spans="1:23" x14ac:dyDescent="0.25">
      <c r="A29" s="128" t="s">
        <v>110</v>
      </c>
      <c r="B29" s="135"/>
      <c r="C29" s="130"/>
      <c r="D29" s="68"/>
      <c r="E29" s="131"/>
      <c r="F29" s="133"/>
      <c r="G29" s="66"/>
      <c r="H29" s="139"/>
      <c r="I29" s="140"/>
      <c r="J29" s="164"/>
      <c r="K29" s="140"/>
      <c r="L29" s="140"/>
      <c r="M29" s="140"/>
      <c r="N29" s="140"/>
      <c r="O29" s="140"/>
      <c r="P29" s="140"/>
      <c r="Q29" s="140"/>
      <c r="R29" s="140"/>
      <c r="S29" s="140"/>
      <c r="T29" s="140"/>
      <c r="U29" s="140"/>
      <c r="V29" s="140"/>
      <c r="W29" s="140"/>
    </row>
    <row r="30" spans="1:23" x14ac:dyDescent="0.25">
      <c r="A30" s="128" t="s">
        <v>111</v>
      </c>
      <c r="B30" s="4"/>
      <c r="C30" s="68">
        <f>ROUND(CPI*D30,2)</f>
        <v>15.13</v>
      </c>
      <c r="D30" s="68">
        <v>11.32</v>
      </c>
      <c r="E30" s="131" t="s">
        <v>58</v>
      </c>
      <c r="F30" s="133"/>
      <c r="G30" s="66">
        <f t="shared" si="2"/>
        <v>0</v>
      </c>
      <c r="H30" s="114"/>
      <c r="I30" s="134"/>
      <c r="J30" s="164"/>
      <c r="K30" s="134"/>
      <c r="L30" s="134"/>
      <c r="M30" s="134"/>
      <c r="N30" s="134"/>
      <c r="O30" s="134"/>
      <c r="P30" s="134"/>
      <c r="Q30" s="134"/>
      <c r="R30" s="134"/>
      <c r="S30" s="134"/>
      <c r="T30" s="134"/>
      <c r="U30" s="134"/>
      <c r="V30" s="134"/>
      <c r="W30" s="134"/>
    </row>
    <row r="31" spans="1:23" x14ac:dyDescent="0.25">
      <c r="A31" s="128" t="s">
        <v>112</v>
      </c>
      <c r="B31" s="4"/>
      <c r="C31" s="68">
        <f>ROUND(CPI*D31,2)</f>
        <v>22.33</v>
      </c>
      <c r="D31" s="68">
        <v>16.71</v>
      </c>
      <c r="E31" s="131" t="s">
        <v>58</v>
      </c>
      <c r="F31" s="133"/>
      <c r="G31" s="66">
        <f t="shared" si="2"/>
        <v>0</v>
      </c>
      <c r="H31" s="114"/>
      <c r="I31" s="134"/>
      <c r="J31" s="164"/>
      <c r="K31" s="134"/>
      <c r="L31" s="134"/>
      <c r="M31" s="134"/>
      <c r="N31" s="134"/>
      <c r="O31" s="134"/>
      <c r="P31" s="134"/>
      <c r="Q31" s="134"/>
      <c r="R31" s="134"/>
      <c r="S31" s="134"/>
      <c r="T31" s="134"/>
      <c r="U31" s="134"/>
      <c r="V31" s="134"/>
      <c r="W31" s="134"/>
    </row>
    <row r="32" spans="1:23" x14ac:dyDescent="0.25">
      <c r="A32" s="128" t="s">
        <v>113</v>
      </c>
      <c r="B32" s="4"/>
      <c r="C32" s="68">
        <f>ROUND(CPI*D32,2)</f>
        <v>37.47</v>
      </c>
      <c r="D32" s="68">
        <v>28.04</v>
      </c>
      <c r="E32" s="131" t="s">
        <v>58</v>
      </c>
      <c r="F32" s="141"/>
      <c r="G32" s="66">
        <f t="shared" si="2"/>
        <v>0</v>
      </c>
      <c r="H32" s="114"/>
      <c r="I32" s="134"/>
      <c r="J32" s="164"/>
      <c r="K32" s="134"/>
      <c r="L32" s="134"/>
      <c r="M32" s="134"/>
      <c r="N32" s="134"/>
      <c r="O32" s="134"/>
      <c r="P32" s="134"/>
      <c r="Q32" s="134"/>
      <c r="R32" s="134"/>
      <c r="S32" s="134"/>
      <c r="T32" s="134"/>
      <c r="U32" s="134"/>
      <c r="V32" s="134"/>
      <c r="W32" s="134"/>
    </row>
    <row r="33" spans="1:11" x14ac:dyDescent="0.25">
      <c r="A33" s="128" t="s">
        <v>114</v>
      </c>
      <c r="B33" s="4"/>
      <c r="C33" s="68">
        <f>ROUND(CPI*D33,2)</f>
        <v>44.67</v>
      </c>
      <c r="D33" s="68">
        <v>33.43</v>
      </c>
      <c r="E33" s="131" t="s">
        <v>58</v>
      </c>
      <c r="F33" s="133"/>
      <c r="G33" s="66">
        <f t="shared" si="2"/>
        <v>0</v>
      </c>
      <c r="H33" s="118"/>
      <c r="J33" s="164"/>
    </row>
    <row r="34" spans="1:11" x14ac:dyDescent="0.25">
      <c r="A34" s="128" t="s">
        <v>115</v>
      </c>
      <c r="B34" s="4"/>
      <c r="C34" s="68">
        <f>ROUND(CPI*D34,2)</f>
        <v>52.58</v>
      </c>
      <c r="D34" s="68">
        <v>39.35</v>
      </c>
      <c r="E34" s="131" t="s">
        <v>58</v>
      </c>
      <c r="F34" s="133"/>
      <c r="G34" s="66">
        <f t="shared" si="2"/>
        <v>0</v>
      </c>
      <c r="H34" s="118"/>
      <c r="J34" s="164"/>
    </row>
    <row r="35" spans="1:11" x14ac:dyDescent="0.25">
      <c r="A35" s="23"/>
      <c r="B35" s="4"/>
      <c r="C35" s="60">
        <v>0</v>
      </c>
      <c r="D35" s="68"/>
      <c r="E35" s="131" t="s">
        <v>58</v>
      </c>
      <c r="F35" s="133"/>
      <c r="G35" s="66">
        <f t="shared" si="2"/>
        <v>0</v>
      </c>
      <c r="H35" s="118"/>
      <c r="J35" s="164"/>
    </row>
    <row r="36" spans="1:11" x14ac:dyDescent="0.25">
      <c r="A36" s="128"/>
      <c r="B36" s="135"/>
      <c r="C36" s="130"/>
      <c r="D36" s="68"/>
      <c r="E36" s="131"/>
      <c r="F36" s="133"/>
      <c r="G36" s="66"/>
      <c r="H36" s="118"/>
      <c r="J36" s="164"/>
    </row>
    <row r="37" spans="1:11" x14ac:dyDescent="0.25">
      <c r="A37" s="128" t="s">
        <v>24</v>
      </c>
      <c r="B37" s="135"/>
      <c r="C37" s="130"/>
      <c r="D37" s="68"/>
      <c r="E37" s="131"/>
      <c r="F37" s="133"/>
      <c r="G37" s="66"/>
      <c r="H37" s="118"/>
      <c r="J37" s="164"/>
    </row>
    <row r="38" spans="1:11" x14ac:dyDescent="0.25">
      <c r="A38" s="128" t="s">
        <v>322</v>
      </c>
      <c r="B38" s="135"/>
      <c r="C38" s="130"/>
      <c r="D38" s="68"/>
      <c r="E38" s="131"/>
      <c r="F38" s="133"/>
      <c r="G38" s="66"/>
      <c r="H38" s="118"/>
      <c r="J38" s="164"/>
    </row>
    <row r="39" spans="1:11" x14ac:dyDescent="0.25">
      <c r="A39" s="422" t="s">
        <v>435</v>
      </c>
      <c r="B39" s="4"/>
      <c r="C39" s="12"/>
      <c r="D39" s="68"/>
      <c r="E39" s="131" t="s">
        <v>58</v>
      </c>
      <c r="F39" s="133"/>
      <c r="G39" s="66">
        <f t="shared" si="2"/>
        <v>0</v>
      </c>
      <c r="H39" s="118"/>
      <c r="J39" s="164"/>
    </row>
    <row r="40" spans="1:11" x14ac:dyDescent="0.25">
      <c r="A40" s="422" t="s">
        <v>436</v>
      </c>
      <c r="B40" s="4"/>
      <c r="C40" s="12"/>
      <c r="D40" s="68"/>
      <c r="E40" s="131" t="s">
        <v>58</v>
      </c>
      <c r="F40" s="133"/>
      <c r="G40" s="66">
        <f t="shared" si="2"/>
        <v>0</v>
      </c>
      <c r="H40" s="118"/>
      <c r="J40" s="164"/>
      <c r="K40" s="296"/>
    </row>
    <row r="41" spans="1:11" x14ac:dyDescent="0.25">
      <c r="A41" s="128" t="s">
        <v>116</v>
      </c>
      <c r="B41" s="4"/>
      <c r="C41" s="68">
        <f t="shared" ref="C41:C51" si="3">ROUND(CPI*D41,2)</f>
        <v>37.47</v>
      </c>
      <c r="D41" s="68">
        <v>28.04</v>
      </c>
      <c r="E41" s="131" t="s">
        <v>58</v>
      </c>
      <c r="F41" s="132"/>
      <c r="G41" s="66">
        <f t="shared" si="2"/>
        <v>0</v>
      </c>
      <c r="H41" s="118"/>
      <c r="J41" s="164"/>
      <c r="K41" s="296"/>
    </row>
    <row r="42" spans="1:11" x14ac:dyDescent="0.25">
      <c r="A42" s="128" t="s">
        <v>117</v>
      </c>
      <c r="B42" s="4"/>
      <c r="C42" s="68">
        <f t="shared" si="3"/>
        <v>74.2</v>
      </c>
      <c r="D42" s="68">
        <v>55.53</v>
      </c>
      <c r="E42" s="131" t="s">
        <v>58</v>
      </c>
      <c r="F42" s="132"/>
      <c r="G42" s="66">
        <f t="shared" si="2"/>
        <v>0</v>
      </c>
      <c r="H42" s="118"/>
      <c r="J42" s="164"/>
      <c r="K42" s="296"/>
    </row>
    <row r="43" spans="1:11" x14ac:dyDescent="0.25">
      <c r="A43" s="128" t="s">
        <v>118</v>
      </c>
      <c r="B43" s="4"/>
      <c r="C43" s="68">
        <f t="shared" si="3"/>
        <v>37.47</v>
      </c>
      <c r="D43" s="68">
        <v>28.04</v>
      </c>
      <c r="E43" s="131" t="s">
        <v>58</v>
      </c>
      <c r="F43" s="133"/>
      <c r="G43" s="66">
        <f t="shared" ref="G43:G51" si="4">B43*C43</f>
        <v>0</v>
      </c>
      <c r="H43" s="118"/>
      <c r="J43" s="164"/>
      <c r="K43" s="296"/>
    </row>
    <row r="44" spans="1:11" x14ac:dyDescent="0.25">
      <c r="A44" s="128" t="s">
        <v>119</v>
      </c>
      <c r="B44" s="4"/>
      <c r="C44" s="68">
        <f t="shared" si="3"/>
        <v>30.27</v>
      </c>
      <c r="D44" s="68">
        <v>22.65</v>
      </c>
      <c r="E44" s="131" t="s">
        <v>58</v>
      </c>
      <c r="F44" s="133"/>
      <c r="G44" s="66">
        <f t="shared" si="4"/>
        <v>0</v>
      </c>
      <c r="H44" s="118"/>
      <c r="J44" s="164"/>
      <c r="K44" s="296"/>
    </row>
    <row r="45" spans="1:11" x14ac:dyDescent="0.25">
      <c r="A45" s="128" t="s">
        <v>120</v>
      </c>
      <c r="B45" s="4"/>
      <c r="C45" s="68">
        <f t="shared" si="3"/>
        <v>815.43</v>
      </c>
      <c r="D45" s="68">
        <v>610.24</v>
      </c>
      <c r="E45" s="131" t="s">
        <v>58</v>
      </c>
      <c r="F45" s="133"/>
      <c r="G45" s="66">
        <f t="shared" si="4"/>
        <v>0</v>
      </c>
      <c r="H45" s="118"/>
      <c r="J45" s="164"/>
      <c r="K45" s="296"/>
    </row>
    <row r="46" spans="1:11" x14ac:dyDescent="0.25">
      <c r="A46" s="128" t="s">
        <v>121</v>
      </c>
      <c r="B46" s="4"/>
      <c r="C46" s="68">
        <f t="shared" si="3"/>
        <v>9.3699999999999992</v>
      </c>
      <c r="D46" s="68">
        <v>7.01</v>
      </c>
      <c r="E46" s="131" t="s">
        <v>58</v>
      </c>
      <c r="F46" s="133"/>
      <c r="G46" s="66">
        <f t="shared" si="4"/>
        <v>0</v>
      </c>
      <c r="H46" s="118"/>
      <c r="J46" s="164"/>
      <c r="K46" s="296"/>
    </row>
    <row r="47" spans="1:11" x14ac:dyDescent="0.25">
      <c r="A47" s="128" t="s">
        <v>122</v>
      </c>
      <c r="B47" s="4"/>
      <c r="C47" s="68">
        <f t="shared" si="3"/>
        <v>16.57</v>
      </c>
      <c r="D47" s="68">
        <v>12.4</v>
      </c>
      <c r="E47" s="131" t="s">
        <v>58</v>
      </c>
      <c r="F47" s="133"/>
      <c r="G47" s="66">
        <f t="shared" si="4"/>
        <v>0</v>
      </c>
      <c r="H47" s="118"/>
      <c r="J47" s="164"/>
      <c r="K47" s="296"/>
    </row>
    <row r="48" spans="1:11" x14ac:dyDescent="0.25">
      <c r="A48" s="128" t="s">
        <v>251</v>
      </c>
      <c r="B48" s="4"/>
      <c r="C48" s="68">
        <f t="shared" si="3"/>
        <v>525.84</v>
      </c>
      <c r="D48" s="68">
        <v>393.52</v>
      </c>
      <c r="E48" s="131" t="s">
        <v>57</v>
      </c>
      <c r="F48" s="133"/>
      <c r="G48" s="66">
        <f t="shared" si="4"/>
        <v>0</v>
      </c>
      <c r="H48" s="118"/>
      <c r="J48" s="164"/>
    </row>
    <row r="49" spans="1:10" x14ac:dyDescent="0.25">
      <c r="A49" s="128" t="s">
        <v>336</v>
      </c>
      <c r="B49" s="4"/>
      <c r="C49" s="68">
        <f t="shared" si="3"/>
        <v>1053.1199999999999</v>
      </c>
      <c r="D49" s="68">
        <v>788.12</v>
      </c>
      <c r="E49" s="131" t="s">
        <v>57</v>
      </c>
      <c r="F49" s="133"/>
      <c r="G49" s="66">
        <f t="shared" si="4"/>
        <v>0</v>
      </c>
      <c r="H49" s="118"/>
      <c r="J49" s="164"/>
    </row>
    <row r="50" spans="1:10" x14ac:dyDescent="0.25">
      <c r="A50" s="423" t="s">
        <v>431</v>
      </c>
      <c r="B50" s="10"/>
      <c r="C50" s="68">
        <f t="shared" si="3"/>
        <v>9.4700000000000006</v>
      </c>
      <c r="D50" s="424">
        <v>7.09</v>
      </c>
      <c r="E50" s="131" t="s">
        <v>432</v>
      </c>
      <c r="F50" s="133"/>
      <c r="G50" s="66">
        <f t="shared" si="4"/>
        <v>0</v>
      </c>
      <c r="H50" s="118"/>
      <c r="J50" s="239"/>
    </row>
    <row r="51" spans="1:10" x14ac:dyDescent="0.25">
      <c r="A51" s="128" t="s">
        <v>433</v>
      </c>
      <c r="B51" s="4"/>
      <c r="C51" s="68">
        <f t="shared" si="3"/>
        <v>338.4</v>
      </c>
      <c r="D51" s="68">
        <v>253.25</v>
      </c>
      <c r="E51" s="131" t="s">
        <v>57</v>
      </c>
      <c r="F51" s="133"/>
      <c r="G51" s="66">
        <f t="shared" si="4"/>
        <v>0</v>
      </c>
      <c r="H51" s="118"/>
    </row>
    <row r="52" spans="1:10" x14ac:dyDescent="0.25">
      <c r="A52" s="128" t="s">
        <v>492</v>
      </c>
      <c r="B52" s="4"/>
      <c r="C52" s="12">
        <v>0</v>
      </c>
      <c r="D52" s="141"/>
      <c r="E52" s="131" t="s">
        <v>57</v>
      </c>
      <c r="F52" s="133"/>
      <c r="G52" s="66">
        <f t="shared" ref="G52" si="5">B52*C52</f>
        <v>0</v>
      </c>
      <c r="H52" s="118"/>
    </row>
    <row r="53" spans="1:10" ht="13" thickBot="1" x14ac:dyDescent="0.3">
      <c r="A53" s="118"/>
      <c r="B53" s="122"/>
      <c r="C53" s="120"/>
      <c r="D53" s="120"/>
      <c r="E53" s="120"/>
      <c r="F53" s="118"/>
      <c r="G53" s="118"/>
      <c r="H53" s="118"/>
    </row>
    <row r="54" spans="1:10" ht="13" thickBot="1" x14ac:dyDescent="0.3">
      <c r="A54" s="149" t="s">
        <v>316</v>
      </c>
      <c r="B54" s="8"/>
      <c r="C54" s="120"/>
      <c r="D54" s="120"/>
      <c r="E54" s="120"/>
      <c r="F54" s="150" t="s">
        <v>94</v>
      </c>
      <c r="G54" s="69">
        <f>SUM(G13:G52)</f>
        <v>0</v>
      </c>
      <c r="H54" s="118"/>
    </row>
    <row r="55" spans="1:10" x14ac:dyDescent="0.25">
      <c r="A55" s="149"/>
      <c r="B55" s="121"/>
      <c r="C55" s="120"/>
      <c r="D55" s="120"/>
      <c r="E55" s="120"/>
      <c r="F55" s="151" t="s">
        <v>317</v>
      </c>
      <c r="G55" s="70">
        <f>IF($B$54="Yes",0.05*G54,0)</f>
        <v>0</v>
      </c>
      <c r="H55" s="118"/>
    </row>
    <row r="56" spans="1:10" x14ac:dyDescent="0.25">
      <c r="A56" s="114"/>
      <c r="B56" s="152"/>
      <c r="C56" s="153"/>
      <c r="D56" s="153"/>
      <c r="E56" s="120"/>
      <c r="F56" s="150" t="s">
        <v>271</v>
      </c>
      <c r="G56" s="69">
        <f>0.15*(G54+G55)</f>
        <v>0</v>
      </c>
      <c r="H56" s="118"/>
    </row>
    <row r="57" spans="1:10" x14ac:dyDescent="0.25">
      <c r="A57" s="154"/>
      <c r="B57" s="152"/>
      <c r="C57" s="120"/>
      <c r="D57" s="120"/>
      <c r="E57" s="120"/>
      <c r="F57" s="150" t="s">
        <v>272</v>
      </c>
      <c r="G57" s="70">
        <f>0.12*(G54+G55+G56)</f>
        <v>0</v>
      </c>
      <c r="H57" s="118"/>
    </row>
    <row r="58" spans="1:10" x14ac:dyDescent="0.25">
      <c r="A58" s="118"/>
      <c r="B58" s="122"/>
      <c r="C58" s="120"/>
      <c r="D58" s="120"/>
      <c r="E58" s="120"/>
      <c r="F58" s="150" t="s">
        <v>276</v>
      </c>
      <c r="G58" s="69">
        <f>SUM(G54:G57)</f>
        <v>0</v>
      </c>
      <c r="H58" s="118"/>
    </row>
    <row r="59" spans="1:10" ht="13" thickBot="1" x14ac:dyDescent="0.3">
      <c r="A59" s="114"/>
      <c r="B59" s="152"/>
      <c r="C59" s="120"/>
      <c r="D59" s="120"/>
      <c r="E59" s="120"/>
      <c r="F59" s="150" t="s">
        <v>96</v>
      </c>
      <c r="G59" s="77">
        <f>IF(G54&gt;1,IF((G54+G56)&lt;601,$C$74,IF((G54+G56)&lt;1001,$C$75,IF((G54+G56)&lt;1501,$C$76,IF((G54+G56)&lt;2001,$C$77,IF((G54+G56)&lt;2501,$C$78,IF((G54+G56)&lt;3001,$C$79,IF((G54+G56)&lt;3501,$C$80,IF((G54+G56)&lt;4001,$C$81,IF((G54+G56)&lt;4501,$C$82,IF((G54+G56)&lt;5001,$C$83,IF((G54+G56)&lt;6001,$C$84,IF((G54+G56)&lt;7001,$C$85,IF((G54+G56)&lt;8001,$C$86,IF((G54+G56)&lt;9001,$C$87,IF((G54+G56)&lt;10001,$C$88,IF((G54+G56)&lt;50001,$C$88+(((G54+G56)-10000)/1000)*$F$90,IF((G54+G56)&lt;100001,$C$88+((50000-10000)/1000)*$F$90+(((G54+G56)-50000)/1000)*$F$95,$C$88+((50000-10000)/1000)*$F$90+((100000-50000)/1000)*$F$95+(((G54+G56)-100000)/1000)*$F$98))))))))))))))))),0)</f>
        <v>0</v>
      </c>
      <c r="H59" s="118"/>
    </row>
    <row r="60" spans="1:10" ht="13.5" thickBot="1" x14ac:dyDescent="0.35">
      <c r="A60" s="118"/>
      <c r="B60" s="122"/>
      <c r="C60" s="120"/>
      <c r="D60" s="120"/>
      <c r="E60" s="120"/>
      <c r="F60" s="155" t="s">
        <v>277</v>
      </c>
      <c r="G60" s="71">
        <f>IF(G54&gt;1,(ROUNDUP(G58+G59,-2)),0)</f>
        <v>0</v>
      </c>
      <c r="H60" s="118"/>
    </row>
    <row r="61" spans="1:10" x14ac:dyDescent="0.25">
      <c r="A61" s="118"/>
      <c r="B61" s="122"/>
      <c r="C61" s="120"/>
      <c r="D61" s="120"/>
      <c r="E61" s="156"/>
      <c r="F61" s="114"/>
      <c r="G61" s="157" t="s">
        <v>250</v>
      </c>
      <c r="H61" s="118"/>
    </row>
    <row r="62" spans="1:10" x14ac:dyDescent="0.25">
      <c r="A62" s="159"/>
      <c r="B62" s="160"/>
      <c r="C62" s="161"/>
      <c r="D62" s="161"/>
      <c r="E62" s="161"/>
      <c r="F62" s="144"/>
      <c r="G62" s="145"/>
      <c r="H62" s="118"/>
    </row>
    <row r="63" spans="1:10" ht="13" x14ac:dyDescent="0.3">
      <c r="A63" s="162" t="s">
        <v>98</v>
      </c>
      <c r="B63" s="163"/>
      <c r="C63" s="164"/>
      <c r="D63" s="164"/>
      <c r="E63" s="164"/>
      <c r="F63" s="165"/>
      <c r="G63" s="166"/>
      <c r="H63" s="118"/>
    </row>
    <row r="64" spans="1:10" x14ac:dyDescent="0.25">
      <c r="A64" s="167"/>
      <c r="B64" s="152"/>
      <c r="C64" s="164"/>
      <c r="D64" s="164"/>
      <c r="E64" s="164"/>
      <c r="F64" s="165"/>
      <c r="G64" s="166"/>
      <c r="H64" s="118"/>
    </row>
    <row r="65" spans="1:8" ht="13" thickBot="1" x14ac:dyDescent="0.3">
      <c r="A65" s="167"/>
      <c r="B65" s="163"/>
      <c r="C65" s="164"/>
      <c r="D65" s="164"/>
      <c r="E65" s="150" t="s">
        <v>318</v>
      </c>
      <c r="F65" s="78">
        <f>G58-G57-G55</f>
        <v>0</v>
      </c>
      <c r="G65" s="166"/>
      <c r="H65" s="118"/>
    </row>
    <row r="66" spans="1:8" ht="13.5" thickBot="1" x14ac:dyDescent="0.35">
      <c r="A66" s="167"/>
      <c r="B66" s="163"/>
      <c r="C66" s="164"/>
      <c r="D66" s="164"/>
      <c r="E66" s="169" t="s">
        <v>275</v>
      </c>
      <c r="F66" s="79">
        <f>ROUND(IF(F65&gt;1,(IF(F65&lt;G114,B113,IF(F65&lt;G115,B114+E114*(F65-G114),B115+E115*(F65-G115)))),0),0)</f>
        <v>0</v>
      </c>
      <c r="G66" s="166"/>
      <c r="H66" s="118"/>
    </row>
    <row r="67" spans="1:8" x14ac:dyDescent="0.25">
      <c r="A67" s="167"/>
      <c r="B67" s="163"/>
      <c r="C67" s="164"/>
      <c r="D67" s="164"/>
      <c r="E67" s="164"/>
      <c r="F67" s="165"/>
      <c r="G67" s="166"/>
      <c r="H67" s="118"/>
    </row>
    <row r="68" spans="1:8" x14ac:dyDescent="0.25">
      <c r="A68" s="170"/>
      <c r="B68" s="171"/>
      <c r="C68" s="172"/>
      <c r="D68" s="172"/>
      <c r="E68" s="172"/>
      <c r="F68" s="173"/>
      <c r="G68" s="174"/>
      <c r="H68" s="118"/>
    </row>
    <row r="69" spans="1:8" x14ac:dyDescent="0.25">
      <c r="A69" s="114"/>
      <c r="B69" s="152"/>
      <c r="C69" s="183"/>
      <c r="D69" s="183"/>
      <c r="E69" s="183"/>
      <c r="F69" s="114"/>
      <c r="G69" s="114"/>
      <c r="H69" s="118"/>
    </row>
    <row r="70" spans="1:8" ht="13" thickBot="1" x14ac:dyDescent="0.3">
      <c r="A70" s="114"/>
      <c r="B70" s="152"/>
      <c r="C70" s="183"/>
      <c r="D70" s="183"/>
      <c r="E70" s="183"/>
      <c r="F70" s="114"/>
      <c r="G70" s="114"/>
      <c r="H70" s="118"/>
    </row>
    <row r="71" spans="1:8" ht="13" thickBot="1" x14ac:dyDescent="0.3">
      <c r="A71" s="613" t="s">
        <v>243</v>
      </c>
      <c r="B71" s="614"/>
      <c r="C71" s="614"/>
      <c r="D71" s="614"/>
      <c r="E71" s="614"/>
      <c r="F71" s="614"/>
      <c r="G71" s="615"/>
      <c r="H71" s="118"/>
    </row>
    <row r="72" spans="1:8" x14ac:dyDescent="0.25">
      <c r="A72" s="214" t="s">
        <v>535</v>
      </c>
      <c r="B72" s="152"/>
      <c r="C72" s="197" t="s">
        <v>97</v>
      </c>
      <c r="D72" s="197"/>
      <c r="E72" s="183"/>
      <c r="F72" s="426"/>
      <c r="G72" s="215"/>
      <c r="H72" s="118"/>
    </row>
    <row r="73" spans="1:8" x14ac:dyDescent="0.25">
      <c r="A73" s="214"/>
      <c r="B73" s="152"/>
      <c r="C73" s="183"/>
      <c r="D73" s="183"/>
      <c r="E73" s="183"/>
      <c r="F73" s="114"/>
      <c r="G73" s="215"/>
      <c r="H73" s="118"/>
    </row>
    <row r="74" spans="1:8" x14ac:dyDescent="0.25">
      <c r="A74" s="216" t="s">
        <v>183</v>
      </c>
      <c r="B74" s="427"/>
      <c r="C74" s="184">
        <v>116</v>
      </c>
      <c r="D74" s="184"/>
      <c r="E74" s="183"/>
      <c r="F74" s="114"/>
      <c r="G74" s="215"/>
      <c r="H74" s="118"/>
    </row>
    <row r="75" spans="1:8" x14ac:dyDescent="0.25">
      <c r="A75" s="216" t="s">
        <v>184</v>
      </c>
      <c r="B75" s="427"/>
      <c r="C75" s="183">
        <v>222</v>
      </c>
      <c r="D75" s="183"/>
      <c r="E75" s="183"/>
      <c r="F75" s="114"/>
      <c r="G75" s="215"/>
      <c r="H75" s="118"/>
    </row>
    <row r="76" spans="1:8" x14ac:dyDescent="0.25">
      <c r="A76" s="216" t="s">
        <v>185</v>
      </c>
      <c r="B76" s="427"/>
      <c r="C76" s="183">
        <v>355</v>
      </c>
      <c r="D76" s="183"/>
      <c r="E76" s="183"/>
      <c r="F76" s="114"/>
      <c r="G76" s="215"/>
      <c r="H76" s="118"/>
    </row>
    <row r="77" spans="1:8" x14ac:dyDescent="0.25">
      <c r="A77" s="216" t="s">
        <v>278</v>
      </c>
      <c r="B77" s="427"/>
      <c r="C77" s="183">
        <v>499</v>
      </c>
      <c r="D77" s="183"/>
      <c r="E77" s="183"/>
      <c r="F77" s="114"/>
      <c r="G77" s="215"/>
      <c r="H77" s="118"/>
    </row>
    <row r="78" spans="1:8" x14ac:dyDescent="0.25">
      <c r="A78" s="216" t="s">
        <v>186</v>
      </c>
      <c r="B78" s="427"/>
      <c r="C78" s="183">
        <v>634</v>
      </c>
      <c r="D78" s="183"/>
      <c r="E78" s="183"/>
      <c r="F78" s="114"/>
      <c r="G78" s="215"/>
      <c r="H78" s="118"/>
    </row>
    <row r="79" spans="1:8" x14ac:dyDescent="0.25">
      <c r="A79" s="216" t="s">
        <v>187</v>
      </c>
      <c r="B79" s="427"/>
      <c r="C79" s="183">
        <v>753</v>
      </c>
      <c r="D79" s="183"/>
      <c r="E79" s="183"/>
      <c r="F79" s="114"/>
      <c r="G79" s="215"/>
      <c r="H79" s="118"/>
    </row>
    <row r="80" spans="1:8" x14ac:dyDescent="0.25">
      <c r="A80" s="216" t="s">
        <v>188</v>
      </c>
      <c r="B80" s="427"/>
      <c r="C80" s="183">
        <v>880</v>
      </c>
      <c r="D80" s="183"/>
      <c r="E80" s="183"/>
      <c r="F80" s="114"/>
      <c r="G80" s="215"/>
      <c r="H80" s="118"/>
    </row>
    <row r="81" spans="1:8" x14ac:dyDescent="0.25">
      <c r="A81" s="216" t="s">
        <v>189</v>
      </c>
      <c r="B81" s="427"/>
      <c r="C81" s="183">
        <v>1005</v>
      </c>
      <c r="D81" s="183"/>
      <c r="E81" s="183"/>
      <c r="F81" s="114"/>
      <c r="G81" s="215"/>
      <c r="H81" s="118"/>
    </row>
    <row r="82" spans="1:8" x14ac:dyDescent="0.25">
      <c r="A82" s="216" t="s">
        <v>190</v>
      </c>
      <c r="B82" s="427"/>
      <c r="C82" s="183">
        <v>1130</v>
      </c>
      <c r="D82" s="183"/>
      <c r="E82" s="183"/>
      <c r="F82" s="114"/>
      <c r="G82" s="215"/>
      <c r="H82" s="118"/>
    </row>
    <row r="83" spans="1:8" x14ac:dyDescent="0.25">
      <c r="A83" s="216" t="s">
        <v>191</v>
      </c>
      <c r="B83" s="427"/>
      <c r="C83" s="183">
        <v>1237</v>
      </c>
      <c r="D83" s="183"/>
      <c r="E83" s="183"/>
      <c r="F83" s="114"/>
      <c r="G83" s="215"/>
      <c r="H83" s="118"/>
    </row>
    <row r="84" spans="1:8" x14ac:dyDescent="0.25">
      <c r="A84" s="216" t="s">
        <v>192</v>
      </c>
      <c r="B84" s="427"/>
      <c r="C84" s="183">
        <v>1453</v>
      </c>
      <c r="D84" s="183"/>
      <c r="E84" s="183"/>
      <c r="F84" s="114"/>
      <c r="G84" s="215"/>
      <c r="H84" s="118"/>
    </row>
    <row r="85" spans="1:8" x14ac:dyDescent="0.25">
      <c r="A85" s="216" t="s">
        <v>193</v>
      </c>
      <c r="B85" s="427"/>
      <c r="C85" s="183">
        <v>1643</v>
      </c>
      <c r="D85" s="183"/>
      <c r="E85" s="183"/>
      <c r="F85" s="114"/>
      <c r="G85" s="215"/>
      <c r="H85" s="118"/>
    </row>
    <row r="86" spans="1:8" x14ac:dyDescent="0.25">
      <c r="A86" s="216" t="s">
        <v>194</v>
      </c>
      <c r="B86" s="427"/>
      <c r="C86" s="183">
        <v>1818</v>
      </c>
      <c r="D86" s="183"/>
      <c r="E86" s="183"/>
      <c r="F86" s="114"/>
      <c r="G86" s="215"/>
      <c r="H86" s="118"/>
    </row>
    <row r="87" spans="1:8" x14ac:dyDescent="0.25">
      <c r="A87" s="216" t="s">
        <v>195</v>
      </c>
      <c r="B87" s="427"/>
      <c r="C87" s="183">
        <v>1983</v>
      </c>
      <c r="D87" s="183"/>
      <c r="E87" s="183"/>
      <c r="F87" s="114"/>
      <c r="G87" s="215"/>
      <c r="H87" s="118"/>
    </row>
    <row r="88" spans="1:8" x14ac:dyDescent="0.25">
      <c r="A88" s="216" t="s">
        <v>339</v>
      </c>
      <c r="B88" s="427"/>
      <c r="C88" s="185">
        <v>2134</v>
      </c>
      <c r="D88" s="185"/>
      <c r="E88" s="183"/>
      <c r="F88" s="114"/>
      <c r="G88" s="215"/>
      <c r="H88" s="118"/>
    </row>
    <row r="89" spans="1:8" x14ac:dyDescent="0.25">
      <c r="A89" s="428"/>
      <c r="B89" s="427"/>
      <c r="C89" s="183"/>
      <c r="D89" s="183"/>
      <c r="E89" s="183"/>
      <c r="F89" s="114"/>
      <c r="G89" s="215"/>
      <c r="H89" s="118"/>
    </row>
    <row r="90" spans="1:8" ht="12.75" customHeight="1" x14ac:dyDescent="0.25">
      <c r="A90" s="607" t="s">
        <v>242</v>
      </c>
      <c r="B90" s="608"/>
      <c r="C90" s="608"/>
      <c r="D90" s="608"/>
      <c r="E90" s="608"/>
      <c r="F90" s="417">
        <v>151</v>
      </c>
      <c r="G90" s="429"/>
      <c r="H90" s="430"/>
    </row>
    <row r="91" spans="1:8" ht="12.75" customHeight="1" x14ac:dyDescent="0.25">
      <c r="A91" s="609"/>
      <c r="B91" s="608"/>
      <c r="C91" s="608"/>
      <c r="D91" s="608"/>
      <c r="E91" s="608"/>
      <c r="F91" s="134"/>
      <c r="G91" s="429"/>
      <c r="H91" s="430"/>
    </row>
    <row r="92" spans="1:8" ht="12.15" customHeight="1" x14ac:dyDescent="0.25">
      <c r="A92" s="609"/>
      <c r="B92" s="608"/>
      <c r="C92" s="608"/>
      <c r="D92" s="608"/>
      <c r="E92" s="608"/>
      <c r="F92" s="137"/>
      <c r="G92" s="429"/>
      <c r="H92" s="430"/>
    </row>
    <row r="93" spans="1:8" ht="1.5" hidden="1" customHeight="1" x14ac:dyDescent="0.25">
      <c r="A93" s="609"/>
      <c r="B93" s="608"/>
      <c r="C93" s="608"/>
      <c r="D93" s="608"/>
      <c r="E93" s="608"/>
      <c r="F93" s="114"/>
      <c r="G93" s="429"/>
      <c r="H93" s="430"/>
    </row>
    <row r="94" spans="1:8" x14ac:dyDescent="0.25">
      <c r="A94" s="607" t="s">
        <v>125</v>
      </c>
      <c r="B94" s="611"/>
      <c r="C94" s="611"/>
      <c r="D94" s="611"/>
      <c r="E94" s="611"/>
      <c r="F94" s="137"/>
      <c r="G94" s="429"/>
      <c r="H94" s="430"/>
    </row>
    <row r="95" spans="1:8" x14ac:dyDescent="0.25">
      <c r="A95" s="612"/>
      <c r="B95" s="611"/>
      <c r="C95" s="611"/>
      <c r="D95" s="611"/>
      <c r="E95" s="611"/>
      <c r="F95" s="417">
        <v>116</v>
      </c>
      <c r="G95" s="429"/>
      <c r="H95" s="430"/>
    </row>
    <row r="96" spans="1:8" ht="21.15" customHeight="1" x14ac:dyDescent="0.25">
      <c r="A96" s="612"/>
      <c r="B96" s="611"/>
      <c r="C96" s="611"/>
      <c r="D96" s="611"/>
      <c r="E96" s="611"/>
      <c r="F96" s="137"/>
      <c r="G96" s="429"/>
      <c r="H96" s="430"/>
    </row>
    <row r="97" spans="1:8" x14ac:dyDescent="0.25">
      <c r="A97" s="607" t="s">
        <v>126</v>
      </c>
      <c r="B97" s="608"/>
      <c r="C97" s="608"/>
      <c r="D97" s="608"/>
      <c r="E97" s="608"/>
      <c r="F97" s="137"/>
      <c r="G97" s="429"/>
      <c r="H97" s="430"/>
    </row>
    <row r="98" spans="1:8" x14ac:dyDescent="0.25">
      <c r="A98" s="609"/>
      <c r="B98" s="608"/>
      <c r="C98" s="608"/>
      <c r="D98" s="608"/>
      <c r="E98" s="608"/>
      <c r="F98" s="417">
        <v>90</v>
      </c>
      <c r="G98" s="429"/>
      <c r="H98" s="430"/>
    </row>
    <row r="99" spans="1:8" x14ac:dyDescent="0.25">
      <c r="A99" s="609"/>
      <c r="B99" s="608"/>
      <c r="C99" s="608"/>
      <c r="D99" s="608"/>
      <c r="E99" s="608"/>
      <c r="F99" s="137"/>
      <c r="G99" s="429"/>
      <c r="H99" s="430"/>
    </row>
    <row r="100" spans="1:8" x14ac:dyDescent="0.25">
      <c r="A100" s="610" t="s">
        <v>576</v>
      </c>
      <c r="B100" s="608"/>
      <c r="C100" s="608"/>
      <c r="D100" s="608"/>
      <c r="E100" s="608"/>
      <c r="F100" s="137"/>
      <c r="G100" s="429"/>
      <c r="H100" s="430"/>
    </row>
    <row r="101" spans="1:8" x14ac:dyDescent="0.25">
      <c r="A101" s="609"/>
      <c r="B101" s="608"/>
      <c r="C101" s="608"/>
      <c r="D101" s="608"/>
      <c r="E101" s="608"/>
      <c r="F101" s="137"/>
      <c r="G101" s="429"/>
      <c r="H101" s="430"/>
    </row>
    <row r="102" spans="1:8" x14ac:dyDescent="0.25">
      <c r="A102" s="609"/>
      <c r="B102" s="608"/>
      <c r="C102" s="608"/>
      <c r="D102" s="608"/>
      <c r="E102" s="608"/>
      <c r="F102" s="137"/>
      <c r="G102" s="429"/>
      <c r="H102" s="430"/>
    </row>
    <row r="103" spans="1:8" x14ac:dyDescent="0.25">
      <c r="A103" s="609"/>
      <c r="B103" s="608"/>
      <c r="C103" s="608"/>
      <c r="D103" s="608"/>
      <c r="E103" s="608"/>
      <c r="F103" s="137"/>
      <c r="G103" s="429"/>
      <c r="H103" s="430"/>
    </row>
    <row r="104" spans="1:8" x14ac:dyDescent="0.25">
      <c r="A104" s="609"/>
      <c r="B104" s="608"/>
      <c r="C104" s="608"/>
      <c r="D104" s="608"/>
      <c r="E104" s="608"/>
      <c r="F104" s="431"/>
      <c r="G104" s="215"/>
      <c r="H104" s="118"/>
    </row>
    <row r="105" spans="1:8" ht="13" thickBot="1" x14ac:dyDescent="0.3">
      <c r="A105" s="432"/>
      <c r="B105" s="433"/>
      <c r="C105" s="209"/>
      <c r="D105" s="209"/>
      <c r="E105" s="187"/>
      <c r="F105" s="434"/>
      <c r="G105" s="336"/>
      <c r="H105" s="118"/>
    </row>
    <row r="106" spans="1:8" ht="15.5" x14ac:dyDescent="0.25">
      <c r="A106" s="193" t="s">
        <v>245</v>
      </c>
      <c r="B106" s="190"/>
      <c r="C106" s="191"/>
      <c r="D106" s="191"/>
      <c r="E106" s="191"/>
      <c r="F106" s="101"/>
      <c r="G106" s="101"/>
      <c r="H106" s="118"/>
    </row>
    <row r="107" spans="1:8" ht="15.5" x14ac:dyDescent="0.25">
      <c r="A107" s="193" t="s">
        <v>338</v>
      </c>
      <c r="B107" s="190"/>
      <c r="C107" s="191"/>
      <c r="D107" s="191"/>
      <c r="E107" s="191"/>
      <c r="F107" s="101"/>
      <c r="G107" s="101"/>
      <c r="H107" s="118"/>
    </row>
    <row r="108" spans="1:8" x14ac:dyDescent="0.25">
      <c r="A108" s="101"/>
      <c r="B108" s="190"/>
      <c r="C108" s="191"/>
      <c r="D108" s="191"/>
      <c r="E108" s="191"/>
      <c r="F108" s="101"/>
      <c r="G108" s="101"/>
      <c r="H108" s="118"/>
    </row>
    <row r="109" spans="1:8" ht="13" thickBot="1" x14ac:dyDescent="0.3">
      <c r="A109" s="101"/>
      <c r="B109" s="190"/>
      <c r="C109" s="191"/>
      <c r="D109" s="191"/>
      <c r="E109" s="191"/>
      <c r="F109" s="101"/>
      <c r="G109" s="101"/>
      <c r="H109" s="118"/>
    </row>
    <row r="110" spans="1:8" ht="13" thickBot="1" x14ac:dyDescent="0.3">
      <c r="A110" s="212"/>
      <c r="B110" s="194" t="s">
        <v>95</v>
      </c>
      <c r="C110" s="195"/>
      <c r="D110" s="195"/>
      <c r="E110" s="195"/>
      <c r="F110" s="195"/>
      <c r="G110" s="213"/>
      <c r="H110" s="118"/>
    </row>
    <row r="111" spans="1:8" x14ac:dyDescent="0.25">
      <c r="A111" s="214" t="s">
        <v>323</v>
      </c>
      <c r="B111" s="152"/>
      <c r="C111" s="197" t="s">
        <v>324</v>
      </c>
      <c r="D111" s="197"/>
      <c r="E111" s="197"/>
      <c r="F111" s="183"/>
      <c r="G111" s="215"/>
      <c r="H111" s="118"/>
    </row>
    <row r="112" spans="1:8" x14ac:dyDescent="0.25">
      <c r="A112" s="214"/>
      <c r="B112" s="152"/>
      <c r="C112" s="183"/>
      <c r="D112" s="183"/>
      <c r="E112" s="183"/>
      <c r="F112" s="183"/>
      <c r="G112" s="215"/>
      <c r="H112" s="118"/>
    </row>
    <row r="113" spans="1:8" x14ac:dyDescent="0.25">
      <c r="A113" s="216" t="s">
        <v>182</v>
      </c>
      <c r="B113" s="420">
        <v>1894</v>
      </c>
      <c r="C113" s="183"/>
      <c r="D113" s="183"/>
      <c r="E113" s="183"/>
      <c r="F113" s="183"/>
      <c r="G113" s="215"/>
      <c r="H113" s="118"/>
    </row>
    <row r="114" spans="1:8" x14ac:dyDescent="0.25">
      <c r="A114" s="216" t="s">
        <v>196</v>
      </c>
      <c r="B114" s="420">
        <v>1894</v>
      </c>
      <c r="C114" s="184" t="s">
        <v>244</v>
      </c>
      <c r="D114" s="184"/>
      <c r="E114" s="207">
        <v>0.17100000000000001</v>
      </c>
      <c r="F114" s="185" t="s">
        <v>207</v>
      </c>
      <c r="G114" s="208">
        <v>5000</v>
      </c>
      <c r="H114" s="118"/>
    </row>
    <row r="115" spans="1:8" ht="13" thickBot="1" x14ac:dyDescent="0.3">
      <c r="A115" s="220" t="s">
        <v>181</v>
      </c>
      <c r="B115" s="421">
        <v>4459</v>
      </c>
      <c r="C115" s="187" t="s">
        <v>244</v>
      </c>
      <c r="D115" s="187"/>
      <c r="E115" s="210">
        <v>0.14050000000000001</v>
      </c>
      <c r="F115" s="188" t="s">
        <v>207</v>
      </c>
      <c r="G115" s="223">
        <v>20000</v>
      </c>
      <c r="H115" s="118"/>
    </row>
    <row r="116" spans="1:8" x14ac:dyDescent="0.25">
      <c r="A116" s="101"/>
      <c r="B116" s="190"/>
      <c r="C116" s="191"/>
      <c r="D116" s="191"/>
      <c r="E116" s="191"/>
      <c r="F116" s="101"/>
      <c r="G116" s="101"/>
      <c r="H116" s="118"/>
    </row>
    <row r="117" spans="1:8" x14ac:dyDescent="0.25">
      <c r="A117" s="95" t="s">
        <v>573</v>
      </c>
      <c r="B117" s="152"/>
      <c r="C117" s="183"/>
      <c r="D117" s="183"/>
      <c r="E117" s="183"/>
      <c r="F117" s="114"/>
      <c r="G117" s="114"/>
      <c r="H117" s="118"/>
    </row>
    <row r="118" spans="1:8" x14ac:dyDescent="0.25">
      <c r="A118" s="224" t="s">
        <v>574</v>
      </c>
      <c r="B118" s="318"/>
      <c r="C118" s="327"/>
      <c r="D118" s="327"/>
      <c r="E118" s="327"/>
      <c r="F118" s="134"/>
      <c r="G118" s="134"/>
    </row>
    <row r="119" spans="1:8" x14ac:dyDescent="0.25">
      <c r="A119" s="500" t="s">
        <v>575</v>
      </c>
      <c r="B119" s="318"/>
      <c r="C119" s="327"/>
      <c r="D119" s="327"/>
      <c r="E119" s="327"/>
      <c r="F119" s="134"/>
      <c r="G119" s="134"/>
    </row>
    <row r="120" spans="1:8" x14ac:dyDescent="0.25">
      <c r="A120" s="134"/>
      <c r="B120" s="318"/>
      <c r="C120" s="327"/>
      <c r="D120" s="327"/>
      <c r="E120" s="327"/>
      <c r="F120" s="134"/>
      <c r="G120" s="134"/>
    </row>
    <row r="121" spans="1:8" x14ac:dyDescent="0.25">
      <c r="A121" s="239"/>
      <c r="B121" s="257"/>
      <c r="C121" s="435"/>
      <c r="D121" s="435"/>
      <c r="E121" s="435"/>
      <c r="F121" s="239"/>
      <c r="G121" s="239"/>
    </row>
  </sheetData>
  <sheetProtection algorithmName="SHA-512" hashValue="1JhckBixO+e42jOerVXIUi1AZ3NwXgAo0f30PLoir63eJqv4dlJe0iF4wa+uNqsyyzl5kFh/0RjQpj8NZKTQpw==" saltValue="02mBirGrYw1fQ+VSm2efXQ==" spinCount="100000" sheet="1" insertRows="0" selectLockedCells="1"/>
  <customSheetViews>
    <customSheetView guid="{0CFDFAE3-BA5A-49B1-8AEF-ACE06B5A41A2}" hiddenRows="1">
      <rowBreaks count="1" manualBreakCount="1">
        <brk id="60" max="5" man="1"/>
      </rowBreaks>
      <pageMargins left="0" right="0" top="0.51" bottom="0.4" header="0.23" footer="0.17"/>
      <printOptions horizontalCentered="1"/>
      <pageSetup scale="95" orientation="portrait" r:id="rId1"/>
      <headerFooter alignWithMargins="0">
        <oddFooter>&amp;LFees Effective 07/01/2011&amp;RPage &amp;P of &amp;N</oddFooter>
      </headerFooter>
    </customSheetView>
  </customSheetViews>
  <mergeCells count="7">
    <mergeCell ref="A97:E99"/>
    <mergeCell ref="A100:E104"/>
    <mergeCell ref="C12:F12"/>
    <mergeCell ref="C13:E13"/>
    <mergeCell ref="A90:E93"/>
    <mergeCell ref="A94:E96"/>
    <mergeCell ref="A71:G71"/>
  </mergeCells>
  <phoneticPr fontId="0" type="noConversion"/>
  <dataValidations disablePrompts="1" count="1">
    <dataValidation type="list" allowBlank="1" showInputMessage="1" showErrorMessage="1" sqref="B54" xr:uid="{00000000-0002-0000-0500-000000000000}">
      <formula1>"Yes,No"</formula1>
    </dataValidation>
  </dataValidations>
  <printOptions horizontalCentered="1"/>
  <pageMargins left="0" right="0" top="0.51" bottom="0.4" header="0.23" footer="0.17"/>
  <pageSetup scale="95" orientation="portrait" r:id="rId2"/>
  <headerFooter alignWithMargins="0">
    <oddFooter>&amp;LFees Effective 07/01/2023&amp;RPage &amp;P of &amp;N</oddFooter>
  </headerFooter>
  <rowBreaks count="1" manualBreakCount="1">
    <brk id="61" max="5" man="1"/>
  </rowBreak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155"/>
  <sheetViews>
    <sheetView view="pageLayout" zoomScaleNormal="100" zoomScaleSheetLayoutView="100" workbookViewId="0">
      <selection activeCell="B16" sqref="B16"/>
    </sheetView>
  </sheetViews>
  <sheetFormatPr defaultColWidth="9.08984375" defaultRowHeight="12.5" x14ac:dyDescent="0.25"/>
  <cols>
    <col min="1" max="1" width="47.6328125" style="121" customWidth="1"/>
    <col min="2" max="2" width="12" style="205" bestFit="1" customWidth="1"/>
    <col min="3" max="3" width="12.54296875" style="206" customWidth="1"/>
    <col min="4" max="4" width="12.54296875" style="206" hidden="1" customWidth="1"/>
    <col min="5" max="5" width="7.36328125" style="206" customWidth="1"/>
    <col min="6" max="6" width="15.08984375" style="121" customWidth="1"/>
    <col min="7" max="7" width="14.08984375" style="121" customWidth="1"/>
    <col min="8" max="9" width="9.08984375" style="121"/>
    <col min="10" max="10" width="11.36328125" style="121" bestFit="1" customWidth="1"/>
    <col min="11" max="16384" width="9.08984375" style="121"/>
  </cols>
  <sheetData>
    <row r="1" spans="1:10" ht="13" x14ac:dyDescent="0.3">
      <c r="A1" s="118"/>
      <c r="B1" s="119"/>
      <c r="C1" s="120"/>
      <c r="D1" s="120"/>
      <c r="E1" s="120"/>
      <c r="F1" s="118"/>
      <c r="G1" s="118"/>
      <c r="H1" s="118"/>
    </row>
    <row r="2" spans="1:10" ht="13" x14ac:dyDescent="0.3">
      <c r="A2" s="118"/>
      <c r="B2" s="119"/>
      <c r="C2" s="120"/>
      <c r="D2" s="120"/>
      <c r="E2" s="120"/>
      <c r="F2" s="118"/>
      <c r="G2" s="118"/>
      <c r="H2" s="118"/>
    </row>
    <row r="3" spans="1:10" x14ac:dyDescent="0.25">
      <c r="A3" s="118"/>
      <c r="B3" s="122"/>
      <c r="C3" s="120"/>
      <c r="D3" s="120"/>
      <c r="E3" s="120"/>
      <c r="F3" s="118"/>
      <c r="G3" s="118"/>
      <c r="H3" s="118"/>
    </row>
    <row r="4" spans="1:10" x14ac:dyDescent="0.25">
      <c r="A4" s="118"/>
      <c r="B4" s="122"/>
      <c r="C4" s="120"/>
      <c r="D4" s="120"/>
      <c r="E4" s="120"/>
      <c r="F4" s="118"/>
      <c r="G4" s="118"/>
      <c r="H4" s="118"/>
    </row>
    <row r="5" spans="1:10" x14ac:dyDescent="0.25">
      <c r="A5" s="118"/>
      <c r="B5" s="122"/>
      <c r="C5" s="120"/>
      <c r="D5" s="120"/>
      <c r="E5" s="120"/>
      <c r="F5" s="118"/>
      <c r="G5" s="118"/>
      <c r="H5" s="118"/>
    </row>
    <row r="6" spans="1:10" x14ac:dyDescent="0.25">
      <c r="A6" s="118"/>
      <c r="B6" s="122"/>
      <c r="C6" s="120"/>
      <c r="D6" s="120"/>
      <c r="E6" s="120"/>
      <c r="F6" s="118"/>
      <c r="G6" s="118"/>
      <c r="H6" s="118"/>
    </row>
    <row r="7" spans="1:10" x14ac:dyDescent="0.25">
      <c r="A7" s="118"/>
      <c r="B7" s="122"/>
      <c r="C7" s="120"/>
      <c r="D7" s="120"/>
      <c r="E7" s="120"/>
      <c r="F7" s="118"/>
      <c r="G7" s="118"/>
      <c r="H7" s="118"/>
    </row>
    <row r="8" spans="1:10" x14ac:dyDescent="0.25">
      <c r="A8" s="118"/>
      <c r="B8" s="122"/>
      <c r="C8" s="120"/>
      <c r="D8" s="120"/>
      <c r="E8" s="120"/>
      <c r="F8" s="118"/>
      <c r="G8" s="118"/>
      <c r="H8" s="118"/>
    </row>
    <row r="9" spans="1:10" x14ac:dyDescent="0.25">
      <c r="A9" s="118"/>
      <c r="B9" s="122"/>
      <c r="C9" s="120"/>
      <c r="D9" s="120"/>
      <c r="E9" s="120"/>
      <c r="F9" s="118"/>
      <c r="G9" s="118"/>
      <c r="H9" s="118"/>
    </row>
    <row r="10" spans="1:10" x14ac:dyDescent="0.25">
      <c r="A10" s="118"/>
      <c r="B10" s="122"/>
      <c r="C10" s="120"/>
      <c r="D10" s="120"/>
      <c r="E10" s="120"/>
      <c r="F10" s="118"/>
      <c r="G10" s="118"/>
      <c r="H10" s="118"/>
    </row>
    <row r="11" spans="1:10" x14ac:dyDescent="0.25">
      <c r="A11" s="118"/>
      <c r="B11" s="122"/>
      <c r="C11" s="120"/>
      <c r="D11" s="120"/>
      <c r="E11" s="120"/>
      <c r="F11" s="118"/>
      <c r="G11" s="118"/>
      <c r="H11" s="118"/>
    </row>
    <row r="12" spans="1:10" ht="13" thickBot="1" x14ac:dyDescent="0.3">
      <c r="A12" s="118"/>
      <c r="B12" s="122"/>
      <c r="C12" s="120"/>
      <c r="D12" s="120"/>
      <c r="E12" s="120"/>
      <c r="F12" s="118"/>
      <c r="G12" s="118"/>
      <c r="H12" s="118"/>
    </row>
    <row r="13" spans="1:10" ht="13.5" thickBot="1" x14ac:dyDescent="0.35">
      <c r="A13" s="123" t="s">
        <v>0</v>
      </c>
      <c r="B13" s="124" t="s">
        <v>1</v>
      </c>
      <c r="C13" s="604" t="s">
        <v>131</v>
      </c>
      <c r="D13" s="605"/>
      <c r="E13" s="605"/>
      <c r="F13" s="606"/>
      <c r="G13" s="123" t="s">
        <v>3</v>
      </c>
      <c r="H13" s="118"/>
    </row>
    <row r="14" spans="1:10" x14ac:dyDescent="0.25">
      <c r="A14" s="125"/>
      <c r="B14" s="126"/>
      <c r="C14" s="570"/>
      <c r="D14" s="571"/>
      <c r="E14" s="572"/>
      <c r="F14" s="96"/>
      <c r="G14" s="127"/>
      <c r="H14" s="118"/>
    </row>
    <row r="15" spans="1:10" x14ac:dyDescent="0.25">
      <c r="A15" s="128" t="s">
        <v>127</v>
      </c>
      <c r="B15" s="129"/>
      <c r="C15" s="130"/>
      <c r="D15" s="141"/>
      <c r="E15" s="131"/>
      <c r="F15" s="132"/>
      <c r="G15" s="66"/>
      <c r="H15" s="118"/>
    </row>
    <row r="16" spans="1:10" x14ac:dyDescent="0.25">
      <c r="A16" s="128" t="s">
        <v>287</v>
      </c>
      <c r="B16" s="4"/>
      <c r="C16" s="68">
        <f t="shared" ref="C16:C24" si="0">ROUND(CPIWAT*D16,2)</f>
        <v>60.53</v>
      </c>
      <c r="D16" s="68">
        <v>45.37</v>
      </c>
      <c r="E16" s="131" t="s">
        <v>58</v>
      </c>
      <c r="F16" s="133"/>
      <c r="G16" s="66">
        <f t="shared" ref="G16:G24" si="1">B16*C16</f>
        <v>0</v>
      </c>
      <c r="H16" s="118"/>
      <c r="J16" s="296"/>
    </row>
    <row r="17" spans="1:24" x14ac:dyDescent="0.25">
      <c r="A17" s="128" t="s">
        <v>288</v>
      </c>
      <c r="B17" s="4"/>
      <c r="C17" s="68">
        <f t="shared" si="0"/>
        <v>74.94</v>
      </c>
      <c r="D17" s="68">
        <v>56.17</v>
      </c>
      <c r="E17" s="131" t="s">
        <v>58</v>
      </c>
      <c r="F17" s="133"/>
      <c r="G17" s="66">
        <f t="shared" si="1"/>
        <v>0</v>
      </c>
      <c r="H17" s="118"/>
      <c r="J17" s="296"/>
    </row>
    <row r="18" spans="1:24" x14ac:dyDescent="0.25">
      <c r="A18" s="128" t="s">
        <v>289</v>
      </c>
      <c r="B18" s="4"/>
      <c r="C18" s="68">
        <f t="shared" si="0"/>
        <v>98</v>
      </c>
      <c r="D18" s="68">
        <v>73.459999999999994</v>
      </c>
      <c r="E18" s="131" t="s">
        <v>58</v>
      </c>
      <c r="F18" s="133"/>
      <c r="G18" s="66">
        <f t="shared" si="1"/>
        <v>0</v>
      </c>
      <c r="H18" s="118"/>
      <c r="J18" s="296"/>
    </row>
    <row r="19" spans="1:24" x14ac:dyDescent="0.25">
      <c r="A19" s="128" t="s">
        <v>290</v>
      </c>
      <c r="B19" s="4"/>
      <c r="C19" s="68">
        <f t="shared" si="0"/>
        <v>103.77</v>
      </c>
      <c r="D19" s="68">
        <v>77.78</v>
      </c>
      <c r="E19" s="131" t="s">
        <v>58</v>
      </c>
      <c r="F19" s="133"/>
      <c r="G19" s="66">
        <f t="shared" si="1"/>
        <v>0</v>
      </c>
      <c r="H19" s="118"/>
      <c r="J19" s="296"/>
    </row>
    <row r="20" spans="1:24" x14ac:dyDescent="0.25">
      <c r="A20" s="128" t="s">
        <v>291</v>
      </c>
      <c r="B20" s="4"/>
      <c r="C20" s="68">
        <f t="shared" si="0"/>
        <v>119.62</v>
      </c>
      <c r="D20" s="68">
        <v>89.66</v>
      </c>
      <c r="E20" s="131" t="s">
        <v>58</v>
      </c>
      <c r="F20" s="133"/>
      <c r="G20" s="66">
        <f t="shared" si="1"/>
        <v>0</v>
      </c>
      <c r="H20" s="118"/>
      <c r="I20" s="134"/>
      <c r="J20" s="296"/>
    </row>
    <row r="21" spans="1:24" x14ac:dyDescent="0.25">
      <c r="A21" s="128" t="s">
        <v>292</v>
      </c>
      <c r="B21" s="4"/>
      <c r="C21" s="68">
        <f t="shared" si="0"/>
        <v>128.26</v>
      </c>
      <c r="D21" s="68">
        <v>96.14</v>
      </c>
      <c r="E21" s="131" t="s">
        <v>58</v>
      </c>
      <c r="F21" s="133"/>
      <c r="G21" s="66">
        <f t="shared" si="1"/>
        <v>0</v>
      </c>
      <c r="H21" s="118"/>
      <c r="J21" s="296"/>
    </row>
    <row r="22" spans="1:24" x14ac:dyDescent="0.25">
      <c r="A22" s="128" t="s">
        <v>293</v>
      </c>
      <c r="B22" s="4"/>
      <c r="C22" s="68">
        <f t="shared" si="0"/>
        <v>134.75</v>
      </c>
      <c r="D22" s="68">
        <v>101</v>
      </c>
      <c r="E22" s="131" t="s">
        <v>58</v>
      </c>
      <c r="F22" s="133"/>
      <c r="G22" s="66">
        <f t="shared" si="1"/>
        <v>0</v>
      </c>
      <c r="H22" s="118"/>
      <c r="J22" s="296"/>
    </row>
    <row r="23" spans="1:24" x14ac:dyDescent="0.25">
      <c r="A23" s="128" t="s">
        <v>294</v>
      </c>
      <c r="B23" s="4"/>
      <c r="C23" s="68">
        <f t="shared" si="0"/>
        <v>149.88</v>
      </c>
      <c r="D23" s="68">
        <v>112.34</v>
      </c>
      <c r="E23" s="131" t="s">
        <v>58</v>
      </c>
      <c r="F23" s="133"/>
      <c r="G23" s="66">
        <f t="shared" si="1"/>
        <v>0</v>
      </c>
      <c r="H23" s="118"/>
      <c r="J23" s="296"/>
    </row>
    <row r="24" spans="1:24" x14ac:dyDescent="0.25">
      <c r="A24" s="23"/>
      <c r="B24" s="4"/>
      <c r="C24" s="60">
        <f t="shared" si="0"/>
        <v>0</v>
      </c>
      <c r="D24" s="68"/>
      <c r="E24" s="131" t="s">
        <v>58</v>
      </c>
      <c r="F24" s="133"/>
      <c r="G24" s="66">
        <f t="shared" si="1"/>
        <v>0</v>
      </c>
      <c r="H24" s="118"/>
      <c r="J24" s="296"/>
    </row>
    <row r="25" spans="1:24" x14ac:dyDescent="0.25">
      <c r="A25" s="128"/>
      <c r="B25" s="129"/>
      <c r="C25" s="130"/>
      <c r="D25" s="68"/>
      <c r="E25" s="131"/>
      <c r="F25" s="132"/>
      <c r="G25" s="66"/>
      <c r="H25" s="118"/>
    </row>
    <row r="26" spans="1:24" x14ac:dyDescent="0.25">
      <c r="A26" s="128" t="s">
        <v>128</v>
      </c>
      <c r="B26" s="129"/>
      <c r="C26" s="130"/>
      <c r="D26" s="68"/>
      <c r="E26" s="131"/>
      <c r="F26" s="132"/>
      <c r="G26" s="66"/>
      <c r="H26" s="118"/>
    </row>
    <row r="27" spans="1:24" x14ac:dyDescent="0.25">
      <c r="A27" s="128" t="s">
        <v>129</v>
      </c>
      <c r="B27" s="4"/>
      <c r="C27" s="68">
        <f>ROUND(CPIWAT*D27,2)</f>
        <v>4611.87</v>
      </c>
      <c r="D27" s="68">
        <v>3456.85</v>
      </c>
      <c r="E27" s="131" t="s">
        <v>57</v>
      </c>
      <c r="F27" s="133"/>
      <c r="G27" s="66">
        <f>B27*C27</f>
        <v>0</v>
      </c>
      <c r="H27" s="114"/>
      <c r="I27" s="134"/>
      <c r="J27" s="296"/>
      <c r="K27" s="134"/>
      <c r="L27" s="134"/>
      <c r="M27" s="134"/>
      <c r="N27" s="134"/>
      <c r="O27" s="134"/>
      <c r="P27" s="134"/>
      <c r="Q27" s="134"/>
      <c r="R27" s="134"/>
      <c r="S27" s="134"/>
      <c r="T27" s="134"/>
      <c r="U27" s="134"/>
      <c r="V27" s="134"/>
      <c r="W27" s="134"/>
      <c r="X27" s="134"/>
    </row>
    <row r="28" spans="1:24" x14ac:dyDescent="0.25">
      <c r="A28" s="128" t="s">
        <v>232</v>
      </c>
      <c r="B28" s="4"/>
      <c r="C28" s="68">
        <f>ROUND(CPIWAT*D28,2)</f>
        <v>5908.97</v>
      </c>
      <c r="D28" s="68">
        <v>4429.1000000000004</v>
      </c>
      <c r="E28" s="131" t="s">
        <v>57</v>
      </c>
      <c r="F28" s="133"/>
      <c r="G28" s="66">
        <f>B28*C28</f>
        <v>0</v>
      </c>
      <c r="H28" s="114"/>
      <c r="I28" s="134"/>
      <c r="J28" s="296"/>
      <c r="K28" s="134"/>
      <c r="L28" s="134"/>
      <c r="M28" s="134"/>
      <c r="N28" s="134"/>
      <c r="O28" s="134"/>
      <c r="P28" s="134"/>
      <c r="Q28" s="134"/>
      <c r="R28" s="134"/>
      <c r="S28" s="134"/>
      <c r="T28" s="134"/>
      <c r="U28" s="134"/>
      <c r="V28" s="134"/>
      <c r="W28" s="134"/>
      <c r="X28" s="134"/>
    </row>
    <row r="29" spans="1:24" x14ac:dyDescent="0.25">
      <c r="A29" s="23"/>
      <c r="B29" s="4"/>
      <c r="C29" s="60">
        <f t="shared" ref="C29" si="2">ROUND(CPIWAT*D29,2)</f>
        <v>0</v>
      </c>
      <c r="D29" s="68"/>
      <c r="E29" s="459" t="s">
        <v>57</v>
      </c>
      <c r="F29" s="133"/>
      <c r="G29" s="66">
        <f t="shared" ref="G29" si="3">B29*C29</f>
        <v>0</v>
      </c>
      <c r="H29" s="118"/>
      <c r="J29" s="296"/>
    </row>
    <row r="30" spans="1:24" x14ac:dyDescent="0.25">
      <c r="A30" s="128"/>
      <c r="B30" s="135"/>
      <c r="C30" s="130"/>
      <c r="D30" s="68"/>
      <c r="E30" s="131"/>
      <c r="F30" s="133"/>
      <c r="G30" s="66"/>
      <c r="H30" s="418"/>
      <c r="I30" s="134"/>
      <c r="J30" s="138"/>
      <c r="K30" s="134"/>
      <c r="L30" s="134"/>
      <c r="M30" s="138"/>
      <c r="N30" s="134"/>
      <c r="O30" s="134"/>
      <c r="P30" s="138"/>
      <c r="Q30" s="134"/>
      <c r="R30" s="134"/>
      <c r="S30" s="138"/>
      <c r="T30" s="134"/>
      <c r="U30" s="134"/>
      <c r="V30" s="138"/>
      <c r="W30" s="134"/>
      <c r="X30" s="134"/>
    </row>
    <row r="31" spans="1:24" x14ac:dyDescent="0.25">
      <c r="A31" s="128" t="s">
        <v>132</v>
      </c>
      <c r="B31" s="135"/>
      <c r="C31" s="130"/>
      <c r="D31" s="68"/>
      <c r="E31" s="131"/>
      <c r="F31" s="133"/>
      <c r="G31" s="66"/>
      <c r="H31" s="139"/>
      <c r="I31" s="140"/>
      <c r="J31" s="140"/>
      <c r="K31" s="140"/>
      <c r="L31" s="140"/>
      <c r="M31" s="140"/>
      <c r="N31" s="140"/>
      <c r="O31" s="140"/>
      <c r="P31" s="140"/>
      <c r="Q31" s="140"/>
      <c r="R31" s="140"/>
      <c r="S31" s="140"/>
      <c r="T31" s="140"/>
      <c r="U31" s="140"/>
      <c r="V31" s="140"/>
      <c r="W31" s="140"/>
      <c r="X31" s="140"/>
    </row>
    <row r="32" spans="1:24" x14ac:dyDescent="0.25">
      <c r="A32" s="128" t="s">
        <v>129</v>
      </c>
      <c r="B32" s="4"/>
      <c r="C32" s="68">
        <f>ROUND(CPIWAT*D32,2)</f>
        <v>3689.49</v>
      </c>
      <c r="D32" s="68">
        <v>2765.48</v>
      </c>
      <c r="E32" s="131" t="s">
        <v>57</v>
      </c>
      <c r="F32" s="133"/>
      <c r="G32" s="66">
        <f t="shared" ref="G32:G41" si="4">B32*C32</f>
        <v>0</v>
      </c>
      <c r="H32" s="114"/>
      <c r="I32" s="134"/>
      <c r="J32" s="296"/>
      <c r="K32" s="134"/>
      <c r="L32" s="134"/>
      <c r="M32" s="134"/>
      <c r="N32" s="134"/>
      <c r="O32" s="134"/>
      <c r="P32" s="134"/>
      <c r="Q32" s="134"/>
      <c r="R32" s="134"/>
      <c r="S32" s="134"/>
      <c r="T32" s="134"/>
      <c r="U32" s="134"/>
      <c r="V32" s="134"/>
      <c r="W32" s="134"/>
      <c r="X32" s="134"/>
    </row>
    <row r="33" spans="1:24" x14ac:dyDescent="0.25">
      <c r="A33" s="128" t="s">
        <v>130</v>
      </c>
      <c r="B33" s="4"/>
      <c r="C33" s="68">
        <f>ROUND(CPIWAT*D33,2)</f>
        <v>6744.87</v>
      </c>
      <c r="D33" s="68">
        <v>5055.6499999999996</v>
      </c>
      <c r="E33" s="131" t="s">
        <v>57</v>
      </c>
      <c r="F33" s="133"/>
      <c r="G33" s="66">
        <f t="shared" si="4"/>
        <v>0</v>
      </c>
      <c r="H33" s="114"/>
      <c r="I33" s="134"/>
      <c r="J33" s="296"/>
      <c r="K33" s="134"/>
      <c r="L33" s="134"/>
      <c r="M33" s="134"/>
      <c r="N33" s="134"/>
      <c r="O33" s="134"/>
      <c r="P33" s="134"/>
      <c r="Q33" s="134"/>
      <c r="R33" s="134"/>
      <c r="S33" s="134"/>
      <c r="T33" s="134"/>
      <c r="U33" s="134"/>
      <c r="V33" s="134"/>
      <c r="W33" s="134"/>
      <c r="X33" s="134"/>
    </row>
    <row r="34" spans="1:24" x14ac:dyDescent="0.25">
      <c r="A34" s="23"/>
      <c r="B34" s="4"/>
      <c r="C34" s="60">
        <f t="shared" ref="C34" si="5">ROUND(CPIWAT*D34,2)</f>
        <v>0</v>
      </c>
      <c r="D34" s="68"/>
      <c r="E34" s="459" t="s">
        <v>57</v>
      </c>
      <c r="F34" s="133"/>
      <c r="G34" s="66">
        <f t="shared" si="4"/>
        <v>0</v>
      </c>
      <c r="H34" s="118"/>
      <c r="J34" s="296"/>
    </row>
    <row r="35" spans="1:24" x14ac:dyDescent="0.25">
      <c r="A35" s="128"/>
      <c r="B35" s="135"/>
      <c r="C35" s="130"/>
      <c r="D35" s="68"/>
      <c r="E35" s="131"/>
      <c r="F35" s="133"/>
      <c r="G35" s="66"/>
      <c r="H35" s="114"/>
      <c r="I35" s="134"/>
      <c r="J35" s="134"/>
      <c r="K35" s="134"/>
      <c r="L35" s="134"/>
      <c r="M35" s="134"/>
      <c r="N35" s="134"/>
      <c r="O35" s="134"/>
      <c r="P35" s="134"/>
      <c r="Q35" s="134"/>
      <c r="R35" s="134"/>
      <c r="S35" s="134"/>
      <c r="T35" s="134"/>
      <c r="U35" s="134"/>
      <c r="V35" s="134"/>
      <c r="W35" s="134"/>
      <c r="X35" s="134"/>
    </row>
    <row r="36" spans="1:24" x14ac:dyDescent="0.25">
      <c r="A36" s="128" t="s">
        <v>233</v>
      </c>
      <c r="B36" s="135"/>
      <c r="C36" s="130"/>
      <c r="D36" s="68"/>
      <c r="E36" s="131"/>
      <c r="F36" s="133"/>
      <c r="G36" s="66"/>
      <c r="H36" s="114"/>
      <c r="I36" s="134"/>
      <c r="J36" s="134"/>
      <c r="K36" s="134"/>
      <c r="L36" s="134"/>
      <c r="M36" s="134"/>
      <c r="N36" s="134"/>
      <c r="O36" s="134"/>
      <c r="P36" s="134"/>
      <c r="Q36" s="134"/>
      <c r="R36" s="134"/>
      <c r="S36" s="134"/>
      <c r="T36" s="134"/>
      <c r="U36" s="134"/>
      <c r="V36" s="134"/>
      <c r="W36" s="134"/>
      <c r="X36" s="134"/>
    </row>
    <row r="37" spans="1:24" x14ac:dyDescent="0.25">
      <c r="A37" s="128" t="s">
        <v>234</v>
      </c>
      <c r="B37" s="135"/>
      <c r="C37" s="130"/>
      <c r="D37" s="68"/>
      <c r="E37" s="131"/>
      <c r="F37" s="133"/>
      <c r="G37" s="66"/>
      <c r="H37" s="114"/>
      <c r="I37" s="134"/>
      <c r="J37" s="134"/>
      <c r="K37" s="134"/>
      <c r="L37" s="134"/>
      <c r="M37" s="134"/>
      <c r="N37" s="134"/>
      <c r="O37" s="134"/>
      <c r="P37" s="134"/>
      <c r="Q37" s="134"/>
      <c r="R37" s="134"/>
      <c r="S37" s="134"/>
      <c r="T37" s="134"/>
      <c r="U37" s="134"/>
      <c r="V37" s="134"/>
      <c r="W37" s="134"/>
      <c r="X37" s="134"/>
    </row>
    <row r="38" spans="1:24" x14ac:dyDescent="0.25">
      <c r="A38" s="128" t="s">
        <v>133</v>
      </c>
      <c r="B38" s="4"/>
      <c r="C38" s="68">
        <f>ROUND(CPIWAT*D38,2)</f>
        <v>31418.39</v>
      </c>
      <c r="D38" s="68">
        <v>23549.82</v>
      </c>
      <c r="E38" s="131" t="s">
        <v>57</v>
      </c>
      <c r="F38" s="133"/>
      <c r="G38" s="66">
        <f t="shared" si="4"/>
        <v>0</v>
      </c>
      <c r="H38" s="114"/>
      <c r="I38" s="134"/>
      <c r="J38" s="296"/>
      <c r="K38" s="134"/>
      <c r="L38" s="134"/>
      <c r="M38" s="134"/>
      <c r="N38" s="134"/>
      <c r="O38" s="134"/>
      <c r="P38" s="134"/>
      <c r="Q38" s="134"/>
      <c r="R38" s="134"/>
      <c r="S38" s="134"/>
      <c r="T38" s="134"/>
      <c r="U38" s="134"/>
      <c r="V38" s="134"/>
      <c r="W38" s="134"/>
      <c r="X38" s="134"/>
    </row>
    <row r="39" spans="1:24" x14ac:dyDescent="0.25">
      <c r="A39" s="128" t="s">
        <v>134</v>
      </c>
      <c r="B39" s="4"/>
      <c r="C39" s="68">
        <f>ROUND(CPIWAT*D39,2)</f>
        <v>37471.480000000003</v>
      </c>
      <c r="D39" s="68">
        <v>28086.95</v>
      </c>
      <c r="E39" s="131" t="s">
        <v>57</v>
      </c>
      <c r="F39" s="133"/>
      <c r="G39" s="66">
        <f t="shared" si="4"/>
        <v>0</v>
      </c>
      <c r="H39" s="114"/>
      <c r="I39" s="134"/>
      <c r="J39" s="296"/>
      <c r="K39" s="134"/>
      <c r="L39" s="134"/>
      <c r="M39" s="134"/>
      <c r="N39" s="134"/>
      <c r="O39" s="134"/>
      <c r="P39" s="134"/>
      <c r="Q39" s="134"/>
      <c r="R39" s="134"/>
      <c r="S39" s="134"/>
      <c r="T39" s="134"/>
      <c r="U39" s="134"/>
      <c r="V39" s="134"/>
      <c r="W39" s="134"/>
      <c r="X39" s="134"/>
    </row>
    <row r="40" spans="1:24" x14ac:dyDescent="0.25">
      <c r="A40" s="128" t="s">
        <v>135</v>
      </c>
      <c r="B40" s="4"/>
      <c r="C40" s="68">
        <f>ROUND(CPIWAT*D40,2)</f>
        <v>44893.71</v>
      </c>
      <c r="D40" s="68">
        <v>33650.32</v>
      </c>
      <c r="E40" s="131" t="s">
        <v>57</v>
      </c>
      <c r="F40" s="133"/>
      <c r="G40" s="66">
        <f t="shared" si="4"/>
        <v>0</v>
      </c>
      <c r="H40" s="114"/>
      <c r="I40" s="134"/>
      <c r="J40" s="296"/>
      <c r="K40" s="134"/>
      <c r="L40" s="134"/>
      <c r="M40" s="134"/>
      <c r="N40" s="134"/>
      <c r="O40" s="134"/>
      <c r="P40" s="134"/>
      <c r="Q40" s="134"/>
      <c r="R40" s="134"/>
      <c r="S40" s="134"/>
      <c r="T40" s="134"/>
      <c r="U40" s="134"/>
      <c r="V40" s="134"/>
      <c r="W40" s="134"/>
      <c r="X40" s="134"/>
    </row>
    <row r="41" spans="1:24" x14ac:dyDescent="0.25">
      <c r="A41" s="23"/>
      <c r="B41" s="4"/>
      <c r="C41" s="60">
        <f t="shared" ref="C41" si="6">ROUND(CPIWAT*D41,2)</f>
        <v>0</v>
      </c>
      <c r="D41" s="68"/>
      <c r="E41" s="459" t="s">
        <v>57</v>
      </c>
      <c r="F41" s="133"/>
      <c r="G41" s="66">
        <f t="shared" si="4"/>
        <v>0</v>
      </c>
      <c r="H41" s="118"/>
      <c r="J41" s="296"/>
    </row>
    <row r="42" spans="1:24" x14ac:dyDescent="0.25">
      <c r="A42" s="128"/>
      <c r="B42" s="135"/>
      <c r="C42" s="130"/>
      <c r="D42" s="68"/>
      <c r="E42" s="131"/>
      <c r="F42" s="133"/>
      <c r="G42" s="66"/>
      <c r="H42" s="114"/>
      <c r="I42" s="134"/>
      <c r="J42" s="134"/>
      <c r="K42" s="134"/>
      <c r="L42" s="134"/>
      <c r="M42" s="134"/>
      <c r="N42" s="134"/>
      <c r="O42" s="134"/>
      <c r="P42" s="134"/>
      <c r="Q42" s="134"/>
      <c r="R42" s="134"/>
      <c r="S42" s="134"/>
      <c r="T42" s="134"/>
      <c r="U42" s="134"/>
      <c r="V42" s="134"/>
      <c r="W42" s="134"/>
      <c r="X42" s="134"/>
    </row>
    <row r="43" spans="1:24" x14ac:dyDescent="0.25">
      <c r="A43" s="128" t="s">
        <v>24</v>
      </c>
      <c r="B43" s="135"/>
      <c r="C43" s="130"/>
      <c r="D43" s="68"/>
      <c r="E43" s="131"/>
      <c r="F43" s="133"/>
      <c r="G43" s="66"/>
      <c r="H43" s="118"/>
    </row>
    <row r="44" spans="1:24" x14ac:dyDescent="0.25">
      <c r="A44" s="128" t="s">
        <v>136</v>
      </c>
      <c r="B44" s="4"/>
      <c r="C44" s="68">
        <f>ROUND(CPIWAT*D44,2)</f>
        <v>10088.469999999999</v>
      </c>
      <c r="D44" s="68">
        <v>7561.87</v>
      </c>
      <c r="E44" s="131" t="s">
        <v>57</v>
      </c>
      <c r="F44" s="133"/>
      <c r="G44" s="66">
        <f t="shared" ref="G44:G52" si="7">B44*C44</f>
        <v>0</v>
      </c>
      <c r="H44" s="118"/>
      <c r="J44" s="296"/>
    </row>
    <row r="45" spans="1:24" x14ac:dyDescent="0.25">
      <c r="A45" s="128" t="s">
        <v>137</v>
      </c>
      <c r="B45" s="4"/>
      <c r="C45" s="68">
        <f>ROUND(CPIWAT*D45,2)</f>
        <v>6053.08</v>
      </c>
      <c r="D45" s="68">
        <v>4537.12</v>
      </c>
      <c r="E45" s="131" t="s">
        <v>57</v>
      </c>
      <c r="F45" s="132"/>
      <c r="G45" s="66">
        <f t="shared" si="7"/>
        <v>0</v>
      </c>
      <c r="H45" s="118"/>
      <c r="J45" s="296"/>
    </row>
    <row r="46" spans="1:24" x14ac:dyDescent="0.25">
      <c r="A46" s="128" t="s">
        <v>138</v>
      </c>
      <c r="B46" s="4"/>
      <c r="C46" s="68">
        <f>ROUND(CPIWAT*D46,2)</f>
        <v>44893.71</v>
      </c>
      <c r="D46" s="68">
        <v>33650.32</v>
      </c>
      <c r="E46" s="131" t="s">
        <v>57</v>
      </c>
      <c r="F46" s="132"/>
      <c r="G46" s="66">
        <f t="shared" si="7"/>
        <v>0</v>
      </c>
      <c r="H46" s="118"/>
      <c r="J46" s="296"/>
    </row>
    <row r="47" spans="1:24" x14ac:dyDescent="0.25">
      <c r="A47" s="128" t="s">
        <v>139</v>
      </c>
      <c r="B47" s="4"/>
      <c r="C47" s="68">
        <f>ROUND(CPIWAT*D47,2)</f>
        <v>89787.42</v>
      </c>
      <c r="D47" s="68">
        <v>67300.639999999999</v>
      </c>
      <c r="E47" s="131" t="s">
        <v>57</v>
      </c>
      <c r="F47" s="132"/>
      <c r="G47" s="66">
        <f t="shared" si="7"/>
        <v>0</v>
      </c>
      <c r="H47" s="118"/>
      <c r="J47" s="296"/>
    </row>
    <row r="48" spans="1:24" x14ac:dyDescent="0.25">
      <c r="A48" s="128" t="s">
        <v>140</v>
      </c>
      <c r="B48" s="4"/>
      <c r="C48" s="130">
        <v>0</v>
      </c>
      <c r="D48" s="68">
        <v>0</v>
      </c>
      <c r="E48" s="460" t="s">
        <v>141</v>
      </c>
      <c r="F48" s="132"/>
      <c r="G48" s="66">
        <f t="shared" si="7"/>
        <v>0</v>
      </c>
      <c r="H48" s="118"/>
    </row>
    <row r="49" spans="1:10" x14ac:dyDescent="0.25">
      <c r="A49" s="128" t="s">
        <v>142</v>
      </c>
      <c r="B49" s="4"/>
      <c r="C49" s="130">
        <v>0</v>
      </c>
      <c r="D49" s="68">
        <v>0</v>
      </c>
      <c r="E49" s="460" t="s">
        <v>141</v>
      </c>
      <c r="F49" s="132"/>
      <c r="G49" s="66">
        <f t="shared" si="7"/>
        <v>0</v>
      </c>
      <c r="H49" s="118"/>
    </row>
    <row r="50" spans="1:10" x14ac:dyDescent="0.25">
      <c r="A50" s="128" t="s">
        <v>143</v>
      </c>
      <c r="B50" s="4"/>
      <c r="C50" s="130">
        <v>0</v>
      </c>
      <c r="D50" s="68">
        <v>0</v>
      </c>
      <c r="E50" s="460" t="s">
        <v>141</v>
      </c>
      <c r="F50" s="132"/>
      <c r="G50" s="66">
        <f t="shared" si="7"/>
        <v>0</v>
      </c>
      <c r="H50" s="118"/>
    </row>
    <row r="51" spans="1:10" x14ac:dyDescent="0.25">
      <c r="A51" s="128" t="s">
        <v>144</v>
      </c>
      <c r="B51" s="4"/>
      <c r="C51" s="68">
        <f>ROUND(CPIWAT*D51,2)</f>
        <v>448.93</v>
      </c>
      <c r="D51" s="68">
        <v>336.5</v>
      </c>
      <c r="E51" s="131" t="s">
        <v>58</v>
      </c>
      <c r="F51" s="132"/>
      <c r="G51" s="66">
        <f t="shared" si="7"/>
        <v>0</v>
      </c>
      <c r="H51" s="118"/>
      <c r="J51" s="296"/>
    </row>
    <row r="52" spans="1:10" x14ac:dyDescent="0.25">
      <c r="A52" s="128" t="s">
        <v>145</v>
      </c>
      <c r="B52" s="4"/>
      <c r="C52" s="68">
        <f>ROUND(CPIWAT*D52,2)</f>
        <v>14959.76</v>
      </c>
      <c r="D52" s="68">
        <v>11213.17</v>
      </c>
      <c r="E52" s="131" t="s">
        <v>57</v>
      </c>
      <c r="F52" s="132"/>
      <c r="G52" s="66">
        <f t="shared" si="7"/>
        <v>0</v>
      </c>
      <c r="H52" s="118"/>
      <c r="J52" s="296"/>
    </row>
    <row r="53" spans="1:10" x14ac:dyDescent="0.25">
      <c r="A53" s="128" t="s">
        <v>146</v>
      </c>
      <c r="B53" s="4"/>
      <c r="C53" s="68">
        <f>ROUND(CPIWAT*D53,2)</f>
        <v>12.25</v>
      </c>
      <c r="D53" s="68">
        <v>9.18</v>
      </c>
      <c r="E53" s="131" t="s">
        <v>123</v>
      </c>
      <c r="F53" s="132"/>
      <c r="G53" s="66">
        <f t="shared" ref="G53:G58" si="8">B53*C53</f>
        <v>0</v>
      </c>
      <c r="H53" s="118"/>
      <c r="J53" s="296"/>
    </row>
    <row r="54" spans="1:10" x14ac:dyDescent="0.25">
      <c r="A54" s="423" t="s">
        <v>319</v>
      </c>
      <c r="B54" s="11"/>
      <c r="C54" s="68">
        <f>ROUND(CPIWAT*D54,2)</f>
        <v>3026.54</v>
      </c>
      <c r="D54" s="461">
        <v>2268.56</v>
      </c>
      <c r="E54" s="114" t="s">
        <v>57</v>
      </c>
      <c r="F54" s="166"/>
      <c r="G54" s="66">
        <f t="shared" si="8"/>
        <v>0</v>
      </c>
      <c r="H54" s="118"/>
      <c r="J54" s="296"/>
    </row>
    <row r="55" spans="1:10" x14ac:dyDescent="0.25">
      <c r="A55" s="128" t="s">
        <v>492</v>
      </c>
      <c r="B55" s="4"/>
      <c r="C55" s="12">
        <v>0</v>
      </c>
      <c r="D55" s="68">
        <v>0</v>
      </c>
      <c r="E55" s="131" t="s">
        <v>57</v>
      </c>
      <c r="F55" s="132"/>
      <c r="G55" s="66">
        <f t="shared" si="8"/>
        <v>0</v>
      </c>
      <c r="H55" s="118"/>
    </row>
    <row r="56" spans="1:10" x14ac:dyDescent="0.25">
      <c r="A56" s="23"/>
      <c r="B56" s="4"/>
      <c r="C56" s="12">
        <v>0</v>
      </c>
      <c r="D56" s="141"/>
      <c r="E56" s="131"/>
      <c r="F56" s="132"/>
      <c r="G56" s="66">
        <f t="shared" si="8"/>
        <v>0</v>
      </c>
      <c r="H56" s="118"/>
    </row>
    <row r="57" spans="1:10" x14ac:dyDescent="0.25">
      <c r="A57" s="23"/>
      <c r="B57" s="4"/>
      <c r="C57" s="12">
        <v>0</v>
      </c>
      <c r="D57" s="141"/>
      <c r="E57" s="131"/>
      <c r="F57" s="132"/>
      <c r="G57" s="66">
        <f t="shared" si="8"/>
        <v>0</v>
      </c>
      <c r="H57" s="118"/>
    </row>
    <row r="58" spans="1:10" ht="13" thickBot="1" x14ac:dyDescent="0.3">
      <c r="A58" s="20"/>
      <c r="B58" s="21"/>
      <c r="C58" s="22">
        <v>0</v>
      </c>
      <c r="D58" s="299"/>
      <c r="E58" s="462"/>
      <c r="F58" s="463"/>
      <c r="G58" s="464">
        <f t="shared" si="8"/>
        <v>0</v>
      </c>
      <c r="H58" s="118"/>
    </row>
    <row r="59" spans="1:10" ht="13" thickBot="1" x14ac:dyDescent="0.3">
      <c r="A59" s="118"/>
      <c r="B59" s="122"/>
      <c r="C59" s="120"/>
      <c r="D59" s="120"/>
      <c r="E59" s="120"/>
      <c r="F59" s="118"/>
      <c r="G59" s="118"/>
      <c r="H59" s="118"/>
    </row>
    <row r="60" spans="1:10" ht="13" thickBot="1" x14ac:dyDescent="0.3">
      <c r="A60" s="149" t="s">
        <v>316</v>
      </c>
      <c r="B60" s="8"/>
      <c r="C60" s="120"/>
      <c r="D60" s="120"/>
      <c r="E60" s="120"/>
      <c r="F60" s="465" t="s">
        <v>94</v>
      </c>
      <c r="G60" s="69">
        <f>SUM(G16:G58)</f>
        <v>0</v>
      </c>
      <c r="H60" s="118"/>
    </row>
    <row r="61" spans="1:10" x14ac:dyDescent="0.25">
      <c r="A61" s="149"/>
      <c r="B61" s="121"/>
      <c r="C61" s="120"/>
      <c r="D61" s="120"/>
      <c r="E61" s="120"/>
      <c r="F61" s="151" t="s">
        <v>317</v>
      </c>
      <c r="G61" s="70">
        <f>IF($B$60="Yes",0.05*G60,0)</f>
        <v>0</v>
      </c>
      <c r="H61" s="118"/>
    </row>
    <row r="62" spans="1:10" x14ac:dyDescent="0.25">
      <c r="A62" s="118"/>
      <c r="B62" s="152"/>
      <c r="C62" s="153"/>
      <c r="D62" s="153"/>
      <c r="E62" s="120"/>
      <c r="F62" s="465" t="s">
        <v>285</v>
      </c>
      <c r="G62" s="69">
        <f>0.15*(G60+G61)</f>
        <v>0</v>
      </c>
      <c r="H62" s="118"/>
    </row>
    <row r="63" spans="1:10" x14ac:dyDescent="0.25">
      <c r="A63" s="154"/>
      <c r="B63" s="152"/>
      <c r="C63" s="120"/>
      <c r="D63" s="120"/>
      <c r="E63" s="120"/>
      <c r="F63" s="465" t="s">
        <v>272</v>
      </c>
      <c r="G63" s="70">
        <f>0.12*(G60+G61+G62)</f>
        <v>0</v>
      </c>
      <c r="H63" s="118"/>
    </row>
    <row r="64" spans="1:10" ht="13" thickBot="1" x14ac:dyDescent="0.3">
      <c r="A64" s="154"/>
      <c r="B64" s="152"/>
      <c r="C64" s="120"/>
      <c r="D64" s="120"/>
      <c r="E64" s="120"/>
      <c r="F64" s="466" t="s">
        <v>273</v>
      </c>
      <c r="G64" s="69">
        <f>SUM(G60:G63)</f>
        <v>0</v>
      </c>
      <c r="H64" s="118"/>
    </row>
    <row r="65" spans="1:8" ht="13.5" thickBot="1" x14ac:dyDescent="0.35">
      <c r="A65" s="118"/>
      <c r="B65" s="122"/>
      <c r="C65" s="120"/>
      <c r="D65" s="120"/>
      <c r="E65" s="120"/>
      <c r="F65" s="155" t="s">
        <v>286</v>
      </c>
      <c r="G65" s="71">
        <f>ROUNDUP(G64,-2)</f>
        <v>0</v>
      </c>
      <c r="H65" s="118"/>
    </row>
    <row r="66" spans="1:8" x14ac:dyDescent="0.25">
      <c r="A66" s="118"/>
      <c r="B66" s="122"/>
      <c r="C66" s="120"/>
      <c r="D66" s="120"/>
      <c r="E66" s="156"/>
      <c r="F66" s="114"/>
      <c r="G66" s="157" t="s">
        <v>250</v>
      </c>
      <c r="H66" s="118"/>
    </row>
    <row r="67" spans="1:8" x14ac:dyDescent="0.25">
      <c r="A67" s="118"/>
      <c r="B67" s="122"/>
      <c r="C67" s="120"/>
      <c r="D67" s="120"/>
      <c r="E67" s="156"/>
      <c r="F67" s="114"/>
      <c r="G67" s="158"/>
      <c r="H67" s="118"/>
    </row>
    <row r="68" spans="1:8" x14ac:dyDescent="0.25">
      <c r="A68" s="616" t="s">
        <v>147</v>
      </c>
      <c r="B68" s="617"/>
      <c r="C68" s="617"/>
      <c r="D68" s="617"/>
      <c r="E68" s="617"/>
      <c r="F68" s="617"/>
      <c r="G68" s="158"/>
      <c r="H68" s="118"/>
    </row>
    <row r="69" spans="1:8" x14ac:dyDescent="0.25">
      <c r="A69" s="617"/>
      <c r="B69" s="617"/>
      <c r="C69" s="617"/>
      <c r="D69" s="617"/>
      <c r="E69" s="617"/>
      <c r="F69" s="617"/>
      <c r="G69" s="158"/>
      <c r="H69" s="118"/>
    </row>
    <row r="70" spans="1:8" x14ac:dyDescent="0.25">
      <c r="A70" s="617"/>
      <c r="B70" s="617"/>
      <c r="C70" s="617"/>
      <c r="D70" s="617"/>
      <c r="E70" s="617"/>
      <c r="F70" s="617"/>
      <c r="G70" s="158"/>
      <c r="H70" s="118"/>
    </row>
    <row r="71" spans="1:8" x14ac:dyDescent="0.25">
      <c r="A71" s="101" t="s">
        <v>148</v>
      </c>
      <c r="B71" s="190"/>
      <c r="C71" s="191"/>
      <c r="D71" s="191"/>
      <c r="E71" s="120"/>
      <c r="F71" s="118"/>
      <c r="G71" s="118"/>
      <c r="H71" s="118"/>
    </row>
    <row r="72" spans="1:8" x14ac:dyDescent="0.25">
      <c r="A72" s="118"/>
      <c r="B72" s="122"/>
      <c r="C72" s="120"/>
      <c r="D72" s="120"/>
      <c r="E72" s="120"/>
      <c r="F72" s="118"/>
      <c r="G72" s="118"/>
      <c r="H72" s="118"/>
    </row>
    <row r="73" spans="1:8" x14ac:dyDescent="0.25">
      <c r="A73" s="118" t="s">
        <v>149</v>
      </c>
      <c r="B73" s="122"/>
      <c r="C73" s="120"/>
      <c r="D73" s="120"/>
      <c r="E73" s="120"/>
      <c r="F73" s="118"/>
      <c r="G73" s="118"/>
      <c r="H73" s="118"/>
    </row>
    <row r="74" spans="1:8" x14ac:dyDescent="0.25">
      <c r="A74" s="118"/>
      <c r="B74" s="122"/>
      <c r="C74" s="120"/>
      <c r="D74" s="120"/>
      <c r="E74" s="120"/>
      <c r="F74" s="118"/>
      <c r="G74" s="118"/>
      <c r="H74" s="118"/>
    </row>
    <row r="75" spans="1:8" x14ac:dyDescent="0.25">
      <c r="A75" s="118"/>
      <c r="B75" s="122"/>
      <c r="C75" s="120"/>
      <c r="D75" s="120"/>
      <c r="E75" s="120"/>
      <c r="F75" s="118"/>
      <c r="G75" s="118"/>
      <c r="H75" s="118"/>
    </row>
    <row r="76" spans="1:8" x14ac:dyDescent="0.25">
      <c r="A76" s="159"/>
      <c r="B76" s="160"/>
      <c r="C76" s="161"/>
      <c r="D76" s="161"/>
      <c r="E76" s="161"/>
      <c r="F76" s="144"/>
      <c r="G76" s="145"/>
      <c r="H76" s="118"/>
    </row>
    <row r="77" spans="1:8" ht="13" x14ac:dyDescent="0.3">
      <c r="A77" s="162" t="s">
        <v>98</v>
      </c>
      <c r="B77" s="163"/>
      <c r="C77" s="164"/>
      <c r="D77" s="164"/>
      <c r="E77" s="164"/>
      <c r="F77" s="165"/>
      <c r="G77" s="166"/>
      <c r="H77" s="118"/>
    </row>
    <row r="78" spans="1:8" x14ac:dyDescent="0.25">
      <c r="A78" s="167"/>
      <c r="B78" s="152"/>
      <c r="C78" s="164"/>
      <c r="D78" s="164"/>
      <c r="E78" s="164"/>
      <c r="F78" s="165"/>
      <c r="G78" s="166"/>
      <c r="H78" s="118"/>
    </row>
    <row r="79" spans="1:8" x14ac:dyDescent="0.25">
      <c r="A79" s="167"/>
      <c r="B79" s="163"/>
      <c r="C79" s="164"/>
      <c r="D79" s="164"/>
      <c r="E79" s="150" t="s">
        <v>295</v>
      </c>
      <c r="F79" s="113">
        <f>SUM(B16:B23)</f>
        <v>0</v>
      </c>
      <c r="G79" s="166" t="s">
        <v>217</v>
      </c>
      <c r="H79" s="118"/>
    </row>
    <row r="80" spans="1:8" x14ac:dyDescent="0.25">
      <c r="A80" s="167"/>
      <c r="B80" s="163"/>
      <c r="C80" s="164"/>
      <c r="D80" s="164"/>
      <c r="E80" s="150" t="s">
        <v>296</v>
      </c>
      <c r="F80" s="100">
        <f>IF(F79&gt;1,IF(F79&lt;151,B92,IF(F79&lt;501,B93,IF(F79&lt;1001,B94,IF(F79&lt;2001,B95,IF(F79&lt;3001,B96,IF(F79&lt;4001,B97,IF(F79&lt;5001,B98,B99+(E99/1000)*(F79-5000)))))))),0)</f>
        <v>0</v>
      </c>
      <c r="G80" s="166"/>
      <c r="H80" s="118"/>
    </row>
    <row r="81" spans="1:8" x14ac:dyDescent="0.25">
      <c r="A81" s="467"/>
      <c r="C81" s="164"/>
      <c r="D81" s="164"/>
      <c r="E81" s="150" t="s">
        <v>297</v>
      </c>
      <c r="F81" s="70">
        <f>IF(B111&lt;11,IF(B111&gt;0,B108,0),B109+E109*(B111-G109))</f>
        <v>0</v>
      </c>
      <c r="G81" s="166"/>
      <c r="H81" s="118"/>
    </row>
    <row r="82" spans="1:8" x14ac:dyDescent="0.25">
      <c r="A82" s="467"/>
      <c r="C82" s="164"/>
      <c r="D82" s="164"/>
      <c r="E82" s="150" t="s">
        <v>298</v>
      </c>
      <c r="F82" s="70">
        <f>IF(B118="Yes", B116+0.0017*(G60+G61+G62),0)</f>
        <v>0</v>
      </c>
      <c r="G82" s="166"/>
      <c r="H82" s="118"/>
    </row>
    <row r="83" spans="1:8" x14ac:dyDescent="0.25">
      <c r="A83" s="467"/>
      <c r="C83" s="164"/>
      <c r="D83" s="164"/>
      <c r="E83" s="150" t="s">
        <v>299</v>
      </c>
      <c r="F83" s="70">
        <f>IF(B128="Yes", B126,0)</f>
        <v>0</v>
      </c>
      <c r="G83" s="166"/>
      <c r="H83" s="118"/>
    </row>
    <row r="84" spans="1:8" x14ac:dyDescent="0.25">
      <c r="A84" s="467"/>
      <c r="C84" s="164"/>
      <c r="D84" s="164"/>
      <c r="E84" s="150" t="s">
        <v>325</v>
      </c>
      <c r="F84" s="70">
        <f>IF(B139="Yes",B137,0)</f>
        <v>0</v>
      </c>
      <c r="G84" s="166"/>
      <c r="H84" s="118"/>
    </row>
    <row r="85" spans="1:8" ht="13" thickBot="1" x14ac:dyDescent="0.3">
      <c r="A85" s="467"/>
      <c r="C85" s="164"/>
      <c r="D85" s="164"/>
      <c r="E85" s="150" t="s">
        <v>326</v>
      </c>
      <c r="F85" s="77">
        <f>IF(B145="Yes",B143,0)</f>
        <v>0</v>
      </c>
      <c r="G85" s="166"/>
      <c r="H85" s="118"/>
    </row>
    <row r="86" spans="1:8" ht="13.5" thickBot="1" x14ac:dyDescent="0.35">
      <c r="A86" s="167"/>
      <c r="B86" s="163"/>
      <c r="C86" s="164"/>
      <c r="D86" s="164"/>
      <c r="E86" s="169" t="s">
        <v>300</v>
      </c>
      <c r="F86" s="75">
        <f>ROUND(SUM(F80:F85),0)</f>
        <v>0</v>
      </c>
      <c r="G86" s="166"/>
      <c r="H86" s="118"/>
    </row>
    <row r="87" spans="1:8" x14ac:dyDescent="0.25">
      <c r="A87" s="468"/>
      <c r="B87" s="293"/>
      <c r="C87" s="164"/>
      <c r="D87" s="164"/>
      <c r="E87" s="150"/>
      <c r="F87" s="165"/>
      <c r="G87" s="166"/>
      <c r="H87" s="118"/>
    </row>
    <row r="88" spans="1:8" ht="13" thickBot="1" x14ac:dyDescent="0.3">
      <c r="A88" s="469"/>
      <c r="B88" s="190"/>
      <c r="C88" s="191"/>
      <c r="D88" s="191"/>
      <c r="E88" s="191"/>
      <c r="F88" s="101"/>
      <c r="G88" s="470"/>
      <c r="H88" s="101"/>
    </row>
    <row r="89" spans="1:8" ht="15.75" customHeight="1" thickBot="1" x14ac:dyDescent="0.3">
      <c r="A89" s="212"/>
      <c r="B89" s="425" t="s">
        <v>248</v>
      </c>
      <c r="C89" s="195"/>
      <c r="D89" s="195"/>
      <c r="E89" s="195"/>
      <c r="F89" s="195"/>
      <c r="G89" s="213"/>
      <c r="H89" s="101"/>
    </row>
    <row r="90" spans="1:8" x14ac:dyDescent="0.25">
      <c r="A90" s="214" t="s">
        <v>301</v>
      </c>
      <c r="B90" s="152"/>
      <c r="C90" s="197" t="s">
        <v>249</v>
      </c>
      <c r="D90" s="197"/>
      <c r="E90" s="197"/>
      <c r="F90" s="183"/>
      <c r="G90" s="215"/>
      <c r="H90" s="101"/>
    </row>
    <row r="91" spans="1:8" x14ac:dyDescent="0.25">
      <c r="A91" s="214"/>
      <c r="B91" s="152"/>
      <c r="C91" s="183"/>
      <c r="D91" s="183"/>
      <c r="E91" s="183"/>
      <c r="F91" s="183"/>
      <c r="G91" s="215"/>
      <c r="H91" s="101"/>
    </row>
    <row r="92" spans="1:8" x14ac:dyDescent="0.25">
      <c r="A92" s="182" t="s">
        <v>198</v>
      </c>
      <c r="B92" s="183">
        <v>1299</v>
      </c>
      <c r="C92" s="204"/>
      <c r="D92" s="204"/>
      <c r="E92" s="204"/>
      <c r="F92" s="183"/>
      <c r="G92" s="215"/>
      <c r="H92" s="101"/>
    </row>
    <row r="93" spans="1:8" x14ac:dyDescent="0.25">
      <c r="A93" s="182" t="s">
        <v>199</v>
      </c>
      <c r="B93" s="183">
        <v>2180</v>
      </c>
      <c r="C93" s="204"/>
      <c r="D93" s="204"/>
      <c r="E93" s="204"/>
      <c r="F93" s="183"/>
      <c r="G93" s="215"/>
      <c r="H93" s="101"/>
    </row>
    <row r="94" spans="1:8" x14ac:dyDescent="0.25">
      <c r="A94" s="182" t="s">
        <v>200</v>
      </c>
      <c r="B94" s="183">
        <v>3067</v>
      </c>
      <c r="C94" s="204"/>
      <c r="D94" s="204"/>
      <c r="E94" s="204"/>
      <c r="F94" s="183"/>
      <c r="G94" s="215"/>
      <c r="H94" s="101"/>
    </row>
    <row r="95" spans="1:8" x14ac:dyDescent="0.25">
      <c r="A95" s="182" t="s">
        <v>201</v>
      </c>
      <c r="B95" s="183">
        <v>3945</v>
      </c>
      <c r="C95" s="204"/>
      <c r="D95" s="204"/>
      <c r="E95" s="204"/>
      <c r="F95" s="183"/>
      <c r="G95" s="215"/>
      <c r="H95" s="101"/>
    </row>
    <row r="96" spans="1:8" x14ac:dyDescent="0.25">
      <c r="A96" s="182" t="s">
        <v>202</v>
      </c>
      <c r="B96" s="183">
        <v>4300</v>
      </c>
      <c r="C96" s="204"/>
      <c r="D96" s="204"/>
      <c r="E96" s="204"/>
      <c r="F96" s="183"/>
      <c r="G96" s="215"/>
      <c r="H96" s="101"/>
    </row>
    <row r="97" spans="1:8" x14ac:dyDescent="0.25">
      <c r="A97" s="182" t="s">
        <v>203</v>
      </c>
      <c r="B97" s="183">
        <v>4827</v>
      </c>
      <c r="C97" s="204"/>
      <c r="D97" s="204"/>
      <c r="E97" s="204"/>
      <c r="F97" s="183"/>
      <c r="G97" s="215"/>
      <c r="H97" s="101"/>
    </row>
    <row r="98" spans="1:8" x14ac:dyDescent="0.25">
      <c r="A98" s="182" t="s">
        <v>204</v>
      </c>
      <c r="B98" s="183">
        <v>5713</v>
      </c>
      <c r="C98" s="204"/>
      <c r="D98" s="204"/>
      <c r="E98" s="204"/>
      <c r="F98" s="183"/>
      <c r="G98" s="215"/>
      <c r="H98" s="101"/>
    </row>
    <row r="99" spans="1:8" ht="12.75" customHeight="1" x14ac:dyDescent="0.25">
      <c r="A99" s="182" t="s">
        <v>205</v>
      </c>
      <c r="B99" s="183">
        <v>5713</v>
      </c>
      <c r="C99" s="471" t="s">
        <v>247</v>
      </c>
      <c r="D99" s="471"/>
      <c r="E99" s="454">
        <v>946</v>
      </c>
      <c r="F99" s="472" t="s">
        <v>320</v>
      </c>
      <c r="G99" s="473"/>
      <c r="H99" s="101"/>
    </row>
    <row r="100" spans="1:8" ht="13" thickBot="1" x14ac:dyDescent="0.3">
      <c r="A100" s="186"/>
      <c r="B100" s="474"/>
      <c r="C100" s="475"/>
      <c r="D100" s="475"/>
      <c r="E100" s="476"/>
      <c r="F100" s="209" t="s">
        <v>321</v>
      </c>
      <c r="G100" s="336"/>
      <c r="H100" s="101"/>
    </row>
    <row r="101" spans="1:8" ht="15.75" customHeight="1" thickBot="1" x14ac:dyDescent="0.3">
      <c r="A101" s="477"/>
      <c r="B101" s="425" t="s">
        <v>95</v>
      </c>
      <c r="C101" s="478"/>
      <c r="D101" s="478"/>
      <c r="E101" s="478"/>
      <c r="F101" s="195"/>
      <c r="G101" s="213"/>
      <c r="H101" s="101"/>
    </row>
    <row r="102" spans="1:8" x14ac:dyDescent="0.25">
      <c r="A102" s="496"/>
      <c r="B102" s="497"/>
      <c r="C102" s="498"/>
      <c r="D102" s="498"/>
      <c r="E102" s="498"/>
      <c r="F102" s="488"/>
      <c r="G102" s="489"/>
      <c r="H102" s="101"/>
    </row>
    <row r="103" spans="1:8" x14ac:dyDescent="0.25">
      <c r="A103" s="610" t="s">
        <v>577</v>
      </c>
      <c r="B103" s="618"/>
      <c r="C103" s="618"/>
      <c r="D103" s="618"/>
      <c r="E103" s="618"/>
      <c r="F103" s="618"/>
      <c r="G103" s="619"/>
      <c r="H103" s="101"/>
    </row>
    <row r="104" spans="1:8" x14ac:dyDescent="0.25">
      <c r="A104" s="620"/>
      <c r="B104" s="618"/>
      <c r="C104" s="618"/>
      <c r="D104" s="618"/>
      <c r="E104" s="618"/>
      <c r="F104" s="618"/>
      <c r="G104" s="619"/>
      <c r="H104" s="101"/>
    </row>
    <row r="105" spans="1:8" ht="12.75" customHeight="1" x14ac:dyDescent="0.25">
      <c r="A105" s="182"/>
      <c r="B105" s="499"/>
      <c r="C105" s="499"/>
      <c r="D105" s="499"/>
      <c r="E105" s="499"/>
      <c r="F105" s="499"/>
      <c r="G105" s="495"/>
      <c r="H105" s="101"/>
    </row>
    <row r="106" spans="1:8" ht="12.75" customHeight="1" x14ac:dyDescent="0.25">
      <c r="A106" s="214" t="s">
        <v>253</v>
      </c>
      <c r="B106" s="479"/>
      <c r="C106" s="197" t="s">
        <v>257</v>
      </c>
      <c r="D106" s="197"/>
      <c r="E106" s="480"/>
      <c r="F106" s="183"/>
      <c r="G106" s="215"/>
      <c r="H106" s="101"/>
    </row>
    <row r="107" spans="1:8" ht="12.75" customHeight="1" x14ac:dyDescent="0.25">
      <c r="A107" s="182"/>
      <c r="B107" s="479"/>
      <c r="C107" s="480"/>
      <c r="D107" s="480"/>
      <c r="E107" s="480"/>
      <c r="F107" s="183"/>
      <c r="G107" s="215"/>
      <c r="H107" s="101"/>
    </row>
    <row r="108" spans="1:8" ht="12.75" customHeight="1" x14ac:dyDescent="0.25">
      <c r="A108" s="428" t="s">
        <v>254</v>
      </c>
      <c r="B108" s="455">
        <v>301</v>
      </c>
      <c r="C108" s="480"/>
      <c r="D108" s="480"/>
      <c r="E108" s="480"/>
      <c r="F108" s="183"/>
      <c r="G108" s="215"/>
      <c r="H108" s="101"/>
    </row>
    <row r="109" spans="1:8" ht="12.75" customHeight="1" x14ac:dyDescent="0.25">
      <c r="A109" s="428" t="s">
        <v>255</v>
      </c>
      <c r="B109" s="455">
        <v>301</v>
      </c>
      <c r="C109" s="481" t="s">
        <v>244</v>
      </c>
      <c r="D109" s="481"/>
      <c r="E109" s="456">
        <v>35</v>
      </c>
      <c r="F109" s="480" t="s">
        <v>256</v>
      </c>
      <c r="G109" s="429">
        <v>10</v>
      </c>
      <c r="H109" s="101"/>
    </row>
    <row r="110" spans="1:8" ht="12.75" customHeight="1" thickBot="1" x14ac:dyDescent="0.3">
      <c r="A110" s="428"/>
      <c r="B110" s="455"/>
      <c r="C110" s="481"/>
      <c r="D110" s="481"/>
      <c r="E110" s="456"/>
      <c r="F110" s="480"/>
      <c r="G110" s="429"/>
      <c r="H110" s="101"/>
    </row>
    <row r="111" spans="1:8" ht="12.75" customHeight="1" thickBot="1" x14ac:dyDescent="0.3">
      <c r="A111" s="428" t="s">
        <v>258</v>
      </c>
      <c r="B111" s="502"/>
      <c r="C111" s="481"/>
      <c r="D111" s="481"/>
      <c r="E111" s="456"/>
      <c r="F111" s="480"/>
      <c r="G111" s="429"/>
      <c r="H111" s="101"/>
    </row>
    <row r="112" spans="1:8" ht="12.75" customHeight="1" thickBot="1" x14ac:dyDescent="0.3">
      <c r="A112" s="186"/>
      <c r="B112" s="474"/>
      <c r="C112" s="475"/>
      <c r="D112" s="475"/>
      <c r="E112" s="475"/>
      <c r="F112" s="209"/>
      <c r="G112" s="336"/>
      <c r="H112" s="101"/>
    </row>
    <row r="113" spans="1:8" ht="15.75" customHeight="1" thickBot="1" x14ac:dyDescent="0.3">
      <c r="A113" s="212"/>
      <c r="B113" s="425" t="s">
        <v>259</v>
      </c>
      <c r="C113" s="195"/>
      <c r="D113" s="195"/>
      <c r="E113" s="195"/>
      <c r="F113" s="195"/>
      <c r="G113" s="213"/>
      <c r="H113" s="101"/>
    </row>
    <row r="114" spans="1:8" ht="12.75" customHeight="1" x14ac:dyDescent="0.25">
      <c r="A114" s="214"/>
      <c r="B114" s="152"/>
      <c r="C114" s="197" t="s">
        <v>261</v>
      </c>
      <c r="D114" s="197"/>
      <c r="E114" s="197"/>
      <c r="F114" s="183"/>
      <c r="G114" s="215"/>
      <c r="H114" s="101"/>
    </row>
    <row r="115" spans="1:8" ht="12.75" customHeight="1" x14ac:dyDescent="0.25">
      <c r="A115" s="182"/>
      <c r="B115" s="183"/>
      <c r="C115" s="471"/>
      <c r="D115" s="471"/>
      <c r="E115" s="457"/>
      <c r="F115" s="480"/>
      <c r="G115" s="215"/>
      <c r="H115" s="101"/>
    </row>
    <row r="116" spans="1:8" ht="12.75" customHeight="1" x14ac:dyDescent="0.25">
      <c r="A116" s="182" t="s">
        <v>206</v>
      </c>
      <c r="B116" s="183">
        <v>3596</v>
      </c>
      <c r="C116" s="471" t="s">
        <v>247</v>
      </c>
      <c r="D116" s="471"/>
      <c r="E116" s="457">
        <v>2.0999999999999999E-3</v>
      </c>
      <c r="F116" s="480" t="s">
        <v>302</v>
      </c>
      <c r="G116" s="215"/>
      <c r="H116" s="101"/>
    </row>
    <row r="117" spans="1:8" ht="12.75" customHeight="1" thickBot="1" x14ac:dyDescent="0.3">
      <c r="A117" s="182"/>
      <c r="B117" s="183"/>
      <c r="C117" s="471"/>
      <c r="D117" s="471"/>
      <c r="E117" s="457"/>
      <c r="F117" s="480"/>
      <c r="G117" s="215"/>
      <c r="H117" s="101"/>
    </row>
    <row r="118" spans="1:8" ht="12.75" customHeight="1" thickBot="1" x14ac:dyDescent="0.3">
      <c r="A118" s="482" t="s">
        <v>266</v>
      </c>
      <c r="B118" s="503"/>
      <c r="C118" s="480"/>
      <c r="D118" s="480"/>
      <c r="E118" s="480"/>
      <c r="F118" s="183"/>
      <c r="G118" s="215"/>
      <c r="H118" s="101"/>
    </row>
    <row r="119" spans="1:8" ht="12.75" customHeight="1" thickBot="1" x14ac:dyDescent="0.3">
      <c r="A119" s="186"/>
      <c r="B119" s="433"/>
      <c r="C119" s="209"/>
      <c r="D119" s="209"/>
      <c r="E119" s="209"/>
      <c r="F119" s="209"/>
      <c r="G119" s="336"/>
      <c r="H119" s="101"/>
    </row>
    <row r="120" spans="1:8" ht="15.75" customHeight="1" thickBot="1" x14ac:dyDescent="0.3">
      <c r="A120" s="212"/>
      <c r="B120" s="425" t="s">
        <v>260</v>
      </c>
      <c r="C120" s="195"/>
      <c r="D120" s="195"/>
      <c r="E120" s="195"/>
      <c r="F120" s="195"/>
      <c r="G120" s="213"/>
      <c r="H120" s="101"/>
    </row>
    <row r="121" spans="1:8" ht="12.75" customHeight="1" x14ac:dyDescent="0.25">
      <c r="A121" s="419"/>
      <c r="B121" s="483"/>
      <c r="C121" s="183"/>
      <c r="D121" s="183"/>
      <c r="E121" s="183"/>
      <c r="F121" s="183"/>
      <c r="G121" s="215"/>
      <c r="H121" s="101"/>
    </row>
    <row r="122" spans="1:8" ht="12.75" customHeight="1" x14ac:dyDescent="0.25">
      <c r="A122" s="623" t="s">
        <v>553</v>
      </c>
      <c r="B122" s="624"/>
      <c r="C122" s="624"/>
      <c r="D122" s="624"/>
      <c r="E122" s="624"/>
      <c r="F122" s="624"/>
      <c r="G122" s="625"/>
      <c r="H122" s="101"/>
    </row>
    <row r="123" spans="1:8" ht="12.75" customHeight="1" x14ac:dyDescent="0.25">
      <c r="A123" s="626"/>
      <c r="B123" s="624"/>
      <c r="C123" s="624"/>
      <c r="D123" s="624"/>
      <c r="E123" s="624"/>
      <c r="F123" s="624"/>
      <c r="G123" s="625"/>
      <c r="H123" s="101"/>
    </row>
    <row r="124" spans="1:8" ht="12.75" customHeight="1" x14ac:dyDescent="0.25">
      <c r="A124" s="214"/>
      <c r="B124" s="152"/>
      <c r="C124" s="197" t="s">
        <v>265</v>
      </c>
      <c r="D124" s="197"/>
      <c r="E124" s="197"/>
      <c r="F124" s="183"/>
      <c r="G124" s="215"/>
      <c r="H124" s="101"/>
    </row>
    <row r="125" spans="1:8" ht="12.75" customHeight="1" x14ac:dyDescent="0.25">
      <c r="A125" s="182"/>
      <c r="B125" s="183"/>
      <c r="C125" s="471"/>
      <c r="D125" s="471"/>
      <c r="E125" s="457"/>
      <c r="F125" s="480"/>
      <c r="G125" s="215"/>
      <c r="H125" s="101"/>
    </row>
    <row r="126" spans="1:8" ht="12.75" customHeight="1" x14ac:dyDescent="0.25">
      <c r="A126" s="484" t="s">
        <v>263</v>
      </c>
      <c r="B126" s="183">
        <v>660</v>
      </c>
      <c r="C126" s="471"/>
      <c r="D126" s="471"/>
      <c r="E126" s="457"/>
      <c r="F126" s="480"/>
      <c r="G126" s="215"/>
      <c r="H126" s="101"/>
    </row>
    <row r="127" spans="1:8" ht="12.75" customHeight="1" thickBot="1" x14ac:dyDescent="0.3">
      <c r="A127" s="485"/>
      <c r="B127" s="183"/>
      <c r="C127" s="471"/>
      <c r="D127" s="471"/>
      <c r="E127" s="457"/>
      <c r="F127" s="480"/>
      <c r="G127" s="215"/>
      <c r="H127" s="101"/>
    </row>
    <row r="128" spans="1:8" ht="12.75" customHeight="1" thickBot="1" x14ac:dyDescent="0.3">
      <c r="A128" s="621" t="s">
        <v>262</v>
      </c>
      <c r="B128" s="503"/>
      <c r="C128" s="480"/>
      <c r="D128" s="480"/>
      <c r="E128" s="480"/>
      <c r="F128" s="183"/>
      <c r="G128" s="215"/>
      <c r="H128" s="101"/>
    </row>
    <row r="129" spans="1:8" ht="12.75" customHeight="1" thickBot="1" x14ac:dyDescent="0.3">
      <c r="A129" s="622"/>
      <c r="B129" s="433"/>
      <c r="C129" s="209"/>
      <c r="D129" s="209"/>
      <c r="E129" s="209"/>
      <c r="F129" s="209"/>
      <c r="G129" s="336"/>
      <c r="H129" s="101"/>
    </row>
    <row r="130" spans="1:8" ht="15.75" customHeight="1" thickBot="1" x14ac:dyDescent="0.3">
      <c r="A130" s="212"/>
      <c r="B130" s="425" t="s">
        <v>264</v>
      </c>
      <c r="C130" s="195"/>
      <c r="D130" s="195"/>
      <c r="E130" s="195"/>
      <c r="F130" s="195"/>
      <c r="G130" s="213"/>
      <c r="H130" s="101"/>
    </row>
    <row r="131" spans="1:8" x14ac:dyDescent="0.25">
      <c r="A131" s="486"/>
      <c r="B131" s="487"/>
      <c r="C131" s="488"/>
      <c r="D131" s="488"/>
      <c r="E131" s="488"/>
      <c r="F131" s="488"/>
      <c r="G131" s="489"/>
      <c r="H131" s="101"/>
    </row>
    <row r="132" spans="1:8" x14ac:dyDescent="0.25">
      <c r="A132" s="623" t="s">
        <v>562</v>
      </c>
      <c r="B132" s="627"/>
      <c r="C132" s="627"/>
      <c r="D132" s="627"/>
      <c r="E132" s="627"/>
      <c r="F132" s="627"/>
      <c r="G132" s="628"/>
      <c r="H132" s="101"/>
    </row>
    <row r="133" spans="1:8" x14ac:dyDescent="0.25">
      <c r="A133" s="629"/>
      <c r="B133" s="627"/>
      <c r="C133" s="627"/>
      <c r="D133" s="627"/>
      <c r="E133" s="627"/>
      <c r="F133" s="627"/>
      <c r="G133" s="628"/>
      <c r="H133" s="101"/>
    </row>
    <row r="134" spans="1:8" x14ac:dyDescent="0.25">
      <c r="A134" s="629"/>
      <c r="B134" s="627"/>
      <c r="C134" s="627"/>
      <c r="D134" s="627"/>
      <c r="E134" s="627"/>
      <c r="F134" s="627"/>
      <c r="G134" s="628"/>
      <c r="H134" s="101"/>
    </row>
    <row r="135" spans="1:8" x14ac:dyDescent="0.25">
      <c r="A135" s="214"/>
      <c r="B135" s="152"/>
      <c r="C135" s="197" t="s">
        <v>327</v>
      </c>
      <c r="D135" s="197"/>
      <c r="E135" s="197"/>
      <c r="F135" s="183"/>
      <c r="G135" s="215"/>
      <c r="H135" s="101"/>
    </row>
    <row r="136" spans="1:8" x14ac:dyDescent="0.25">
      <c r="A136" s="182"/>
      <c r="B136" s="183"/>
      <c r="C136" s="199"/>
      <c r="D136" s="199"/>
      <c r="E136" s="457"/>
      <c r="F136" s="480"/>
      <c r="G136" s="215"/>
      <c r="H136" s="101"/>
    </row>
    <row r="137" spans="1:8" x14ac:dyDescent="0.25">
      <c r="A137" s="484" t="s">
        <v>267</v>
      </c>
      <c r="B137" s="183">
        <v>2171</v>
      </c>
      <c r="C137" s="199"/>
      <c r="D137" s="199"/>
      <c r="E137" s="457"/>
      <c r="F137" s="480"/>
      <c r="G137" s="215"/>
      <c r="H137" s="101"/>
    </row>
    <row r="138" spans="1:8" ht="13" thickBot="1" x14ac:dyDescent="0.3">
      <c r="A138" s="485"/>
      <c r="B138" s="183"/>
      <c r="C138" s="199"/>
      <c r="D138" s="199"/>
      <c r="E138" s="457"/>
      <c r="F138" s="480"/>
      <c r="G138" s="215"/>
      <c r="H138" s="101"/>
    </row>
    <row r="139" spans="1:8" ht="13" thickBot="1" x14ac:dyDescent="0.3">
      <c r="A139" s="621" t="s">
        <v>268</v>
      </c>
      <c r="B139" s="503"/>
      <c r="C139" s="480"/>
      <c r="D139" s="480"/>
      <c r="E139" s="480"/>
      <c r="F139" s="183"/>
      <c r="G139" s="215"/>
      <c r="H139" s="101"/>
    </row>
    <row r="140" spans="1:8" x14ac:dyDescent="0.25">
      <c r="A140" s="626"/>
      <c r="B140" s="427"/>
      <c r="C140" s="183"/>
      <c r="D140" s="183"/>
      <c r="E140" s="183"/>
      <c r="F140" s="183"/>
      <c r="G140" s="215"/>
      <c r="H140" s="101"/>
    </row>
    <row r="141" spans="1:8" x14ac:dyDescent="0.25">
      <c r="A141" s="490"/>
      <c r="B141" s="427"/>
      <c r="C141" s="197" t="s">
        <v>328</v>
      </c>
      <c r="D141" s="197"/>
      <c r="E141" s="183"/>
      <c r="F141" s="183"/>
      <c r="G141" s="215"/>
      <c r="H141" s="101"/>
    </row>
    <row r="142" spans="1:8" x14ac:dyDescent="0.25">
      <c r="A142" s="490"/>
      <c r="B142" s="427"/>
      <c r="C142" s="197"/>
      <c r="D142" s="197"/>
      <c r="E142" s="183"/>
      <c r="F142" s="183"/>
      <c r="G142" s="215"/>
      <c r="H142" s="101"/>
    </row>
    <row r="143" spans="1:8" x14ac:dyDescent="0.25">
      <c r="A143" s="484" t="s">
        <v>269</v>
      </c>
      <c r="B143" s="504">
        <v>160</v>
      </c>
      <c r="C143" s="319"/>
      <c r="D143" s="319"/>
      <c r="E143" s="319"/>
      <c r="F143" s="134"/>
      <c r="G143" s="320"/>
      <c r="H143" s="116"/>
    </row>
    <row r="144" spans="1:8" ht="13" thickBot="1" x14ac:dyDescent="0.3">
      <c r="A144" s="485"/>
      <c r="B144" s="183"/>
      <c r="C144" s="319"/>
      <c r="D144" s="319"/>
      <c r="E144" s="319"/>
      <c r="F144" s="134"/>
      <c r="G144" s="320"/>
      <c r="H144" s="116"/>
    </row>
    <row r="145" spans="1:8" ht="13" thickBot="1" x14ac:dyDescent="0.3">
      <c r="A145" s="621" t="s">
        <v>270</v>
      </c>
      <c r="B145" s="503"/>
      <c r="C145" s="319"/>
      <c r="D145" s="319"/>
      <c r="E145" s="319"/>
      <c r="F145" s="134"/>
      <c r="G145" s="320"/>
      <c r="H145" s="116"/>
    </row>
    <row r="146" spans="1:8" ht="13" thickBot="1" x14ac:dyDescent="0.3">
      <c r="A146" s="622"/>
      <c r="B146" s="433"/>
      <c r="C146" s="491"/>
      <c r="D146" s="491"/>
      <c r="E146" s="491"/>
      <c r="F146" s="492"/>
      <c r="G146" s="493"/>
      <c r="H146" s="116"/>
    </row>
    <row r="147" spans="1:8" x14ac:dyDescent="0.25">
      <c r="A147" s="116"/>
      <c r="B147" s="203"/>
      <c r="C147" s="204"/>
      <c r="D147" s="204"/>
      <c r="E147" s="204"/>
      <c r="F147" s="116"/>
      <c r="G147" s="116"/>
      <c r="H147" s="116"/>
    </row>
    <row r="148" spans="1:8" x14ac:dyDescent="0.25">
      <c r="A148" s="458" t="s">
        <v>578</v>
      </c>
      <c r="B148" s="203"/>
      <c r="C148" s="204"/>
      <c r="D148" s="204"/>
      <c r="E148" s="204"/>
      <c r="F148" s="116"/>
      <c r="G148" s="116"/>
      <c r="H148" s="116"/>
    </row>
    <row r="149" spans="1:8" x14ac:dyDescent="0.25">
      <c r="A149" s="116"/>
      <c r="B149" s="203"/>
      <c r="C149" s="204"/>
      <c r="D149" s="204"/>
      <c r="E149" s="204"/>
      <c r="F149" s="116"/>
      <c r="G149" s="116"/>
      <c r="H149" s="116"/>
    </row>
    <row r="150" spans="1:8" x14ac:dyDescent="0.25">
      <c r="A150" s="116"/>
      <c r="B150" s="203"/>
      <c r="C150" s="204"/>
      <c r="D150" s="204"/>
      <c r="E150" s="204"/>
      <c r="F150" s="116"/>
      <c r="G150" s="116"/>
      <c r="H150" s="116"/>
    </row>
    <row r="151" spans="1:8" x14ac:dyDescent="0.25">
      <c r="A151" s="116"/>
      <c r="B151" s="203"/>
      <c r="C151" s="204"/>
      <c r="D151" s="204"/>
      <c r="E151" s="204"/>
      <c r="F151" s="116"/>
      <c r="G151" s="116"/>
      <c r="H151" s="116"/>
    </row>
    <row r="152" spans="1:8" x14ac:dyDescent="0.25">
      <c r="A152" s="116"/>
      <c r="B152" s="203"/>
      <c r="C152" s="204"/>
      <c r="D152" s="204"/>
      <c r="E152" s="204"/>
      <c r="F152" s="116"/>
      <c r="G152" s="116"/>
      <c r="H152" s="116"/>
    </row>
    <row r="153" spans="1:8" x14ac:dyDescent="0.25">
      <c r="A153" s="116"/>
      <c r="B153" s="203"/>
      <c r="C153" s="204"/>
      <c r="D153" s="204"/>
      <c r="E153" s="204"/>
      <c r="F153" s="116"/>
      <c r="G153" s="116"/>
      <c r="H153" s="116"/>
    </row>
    <row r="154" spans="1:8" x14ac:dyDescent="0.25">
      <c r="A154" s="116"/>
      <c r="B154" s="203"/>
      <c r="C154" s="204"/>
      <c r="D154" s="204"/>
      <c r="E154" s="204"/>
      <c r="F154" s="116"/>
      <c r="G154" s="116"/>
      <c r="H154" s="116"/>
    </row>
    <row r="155" spans="1:8" x14ac:dyDescent="0.25">
      <c r="A155" s="116"/>
      <c r="B155" s="203"/>
      <c r="C155" s="204"/>
      <c r="D155" s="204"/>
      <c r="E155" s="204"/>
      <c r="F155" s="116"/>
      <c r="G155" s="116"/>
      <c r="H155" s="116"/>
    </row>
  </sheetData>
  <sheetProtection algorithmName="SHA-512" hashValue="oWn0/YRGd3NbrDF6k87icDydwSaGyFNninw+X2nWHcHE/Ougi66nR7Kbt5EB6uzlHMfnE7SOo+u8lksGjJb17Q==" saltValue="bURzORG/3LoAR9H20PX8jw==" spinCount="100000" sheet="1" insertRows="0" selectLockedCells="1"/>
  <customSheetViews>
    <customSheetView guid="{0CFDFAE3-BA5A-49B1-8AEF-ACE06B5A41A2}">
      <selection activeCell="B93" sqref="B93"/>
      <rowBreaks count="2" manualBreakCount="2">
        <brk id="60" max="16383" man="1"/>
        <brk id="113" max="16383" man="1"/>
      </rowBreaks>
      <pageMargins left="0" right="0" top="0.51" bottom="0.4" header="0.23" footer="0.17"/>
      <printOptions horizontalCentered="1"/>
      <pageSetup scale="92" orientation="portrait" r:id="rId1"/>
      <headerFooter alignWithMargins="0">
        <oddFooter>&amp;LFees Effective 07/01/2011&amp;RPage &amp;P of &amp;N</oddFooter>
      </headerFooter>
    </customSheetView>
  </customSheetViews>
  <mergeCells count="9">
    <mergeCell ref="C13:F13"/>
    <mergeCell ref="C14:E14"/>
    <mergeCell ref="A68:F70"/>
    <mergeCell ref="A103:G104"/>
    <mergeCell ref="A145:A146"/>
    <mergeCell ref="A122:G123"/>
    <mergeCell ref="A128:A129"/>
    <mergeCell ref="A139:A140"/>
    <mergeCell ref="A132:G134"/>
  </mergeCells>
  <phoneticPr fontId="0" type="noConversion"/>
  <dataValidations count="1">
    <dataValidation type="list" allowBlank="1" showInputMessage="1" showErrorMessage="1" sqref="B118 B60 B145 B139 B128" xr:uid="{00000000-0002-0000-0600-000000000000}">
      <formula1>"Yes,No"</formula1>
    </dataValidation>
  </dataValidations>
  <printOptions horizontalCentered="1"/>
  <pageMargins left="0.25" right="0.25" top="0.25" bottom="0.25" header="0.3" footer="0.3"/>
  <pageSetup scale="92" orientation="portrait" r:id="rId2"/>
  <headerFooter alignWithMargins="0">
    <oddFooter>&amp;LFees Effective 07/01/2023&amp;RPage &amp;P of &amp;N</oddFooter>
  </headerFooter>
  <rowBreaks count="2" manualBreakCount="2">
    <brk id="58" max="6" man="1"/>
    <brk id="112" max="6" man="1"/>
  </rowBreak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76"/>
  <sheetViews>
    <sheetView tabSelected="1" view="pageLayout" zoomScaleNormal="100" zoomScaleSheetLayoutView="99" workbookViewId="0">
      <selection activeCell="B14" sqref="B14"/>
    </sheetView>
  </sheetViews>
  <sheetFormatPr defaultColWidth="9.08984375" defaultRowHeight="12.5" x14ac:dyDescent="0.25"/>
  <cols>
    <col min="1" max="1" width="48.90625" style="121" customWidth="1"/>
    <col min="2" max="2" width="11.453125" style="205" bestFit="1" customWidth="1"/>
    <col min="3" max="3" width="12.54296875" style="206" customWidth="1"/>
    <col min="4" max="4" width="12.54296875" style="206" hidden="1" customWidth="1"/>
    <col min="5" max="5" width="5.08984375" style="206" customWidth="1"/>
    <col min="6" max="6" width="13.453125" style="121" customWidth="1"/>
    <col min="7" max="7" width="14.08984375" style="121" customWidth="1"/>
    <col min="8" max="16384" width="9.08984375" style="121"/>
  </cols>
  <sheetData>
    <row r="1" spans="1:9" ht="13" x14ac:dyDescent="0.3">
      <c r="A1" s="118"/>
      <c r="B1" s="119"/>
      <c r="C1" s="120"/>
      <c r="D1" s="120"/>
      <c r="E1" s="120"/>
      <c r="F1" s="118"/>
      <c r="G1" s="118"/>
      <c r="H1" s="118"/>
      <c r="I1" s="118"/>
    </row>
    <row r="2" spans="1:9" ht="13" x14ac:dyDescent="0.3">
      <c r="A2" s="118"/>
      <c r="B2" s="119"/>
      <c r="C2" s="120"/>
      <c r="D2" s="120"/>
      <c r="E2" s="120"/>
      <c r="F2" s="118"/>
      <c r="G2" s="118"/>
      <c r="H2" s="118"/>
      <c r="I2" s="118"/>
    </row>
    <row r="3" spans="1:9" x14ac:dyDescent="0.25">
      <c r="A3" s="118"/>
      <c r="B3" s="122"/>
      <c r="C3" s="120"/>
      <c r="D3" s="120"/>
      <c r="E3" s="120"/>
      <c r="F3" s="118"/>
      <c r="G3" s="118"/>
      <c r="H3" s="118"/>
      <c r="I3" s="118"/>
    </row>
    <row r="4" spans="1:9" x14ac:dyDescent="0.25">
      <c r="A4" s="118"/>
      <c r="B4" s="122"/>
      <c r="C4" s="120"/>
      <c r="D4" s="120"/>
      <c r="E4" s="120"/>
      <c r="F4" s="118"/>
      <c r="G4" s="118"/>
      <c r="H4" s="118"/>
      <c r="I4" s="118"/>
    </row>
    <row r="5" spans="1:9" x14ac:dyDescent="0.25">
      <c r="A5" s="118"/>
      <c r="B5" s="122"/>
      <c r="C5" s="120"/>
      <c r="D5" s="120"/>
      <c r="E5" s="120"/>
      <c r="F5" s="118"/>
      <c r="G5" s="118"/>
      <c r="H5" s="118"/>
      <c r="I5" s="118"/>
    </row>
    <row r="6" spans="1:9" x14ac:dyDescent="0.25">
      <c r="A6" s="118"/>
      <c r="B6" s="122"/>
      <c r="C6" s="120"/>
      <c r="D6" s="120"/>
      <c r="E6" s="120"/>
      <c r="F6" s="118"/>
      <c r="G6" s="118"/>
      <c r="H6" s="118"/>
      <c r="I6" s="118"/>
    </row>
    <row r="7" spans="1:9" x14ac:dyDescent="0.25">
      <c r="A7" s="118"/>
      <c r="B7" s="122"/>
      <c r="C7" s="120"/>
      <c r="D7" s="120"/>
      <c r="E7" s="120"/>
      <c r="F7" s="118"/>
      <c r="G7" s="118"/>
      <c r="H7" s="118"/>
      <c r="I7" s="118"/>
    </row>
    <row r="8" spans="1:9" x14ac:dyDescent="0.25">
      <c r="A8" s="118"/>
      <c r="B8" s="122"/>
      <c r="C8" s="120"/>
      <c r="D8" s="120"/>
      <c r="E8" s="120"/>
      <c r="F8" s="118"/>
      <c r="G8" s="118"/>
      <c r="H8" s="118"/>
      <c r="I8" s="118"/>
    </row>
    <row r="9" spans="1:9" x14ac:dyDescent="0.25">
      <c r="A9" s="118"/>
      <c r="B9" s="122"/>
      <c r="C9" s="120"/>
      <c r="D9" s="120"/>
      <c r="E9" s="120"/>
      <c r="F9" s="118"/>
      <c r="G9" s="118"/>
      <c r="H9" s="118"/>
      <c r="I9" s="118"/>
    </row>
    <row r="10" spans="1:9" ht="13" thickBot="1" x14ac:dyDescent="0.3">
      <c r="A10" s="118"/>
      <c r="B10" s="122"/>
      <c r="C10" s="120"/>
      <c r="D10" s="120"/>
      <c r="E10" s="120"/>
      <c r="F10" s="118"/>
      <c r="G10" s="118"/>
      <c r="H10" s="118"/>
      <c r="I10" s="118"/>
    </row>
    <row r="11" spans="1:9" ht="13.5" thickBot="1" x14ac:dyDescent="0.35">
      <c r="A11" s="123" t="s">
        <v>0</v>
      </c>
      <c r="B11" s="124" t="s">
        <v>1</v>
      </c>
      <c r="C11" s="604" t="s">
        <v>2</v>
      </c>
      <c r="D11" s="605"/>
      <c r="E11" s="605"/>
      <c r="F11" s="606"/>
      <c r="G11" s="123" t="s">
        <v>3</v>
      </c>
      <c r="H11" s="118"/>
      <c r="I11" s="118"/>
    </row>
    <row r="12" spans="1:9" x14ac:dyDescent="0.25">
      <c r="A12" s="125"/>
      <c r="B12" s="126"/>
      <c r="C12" s="570"/>
      <c r="D12" s="571"/>
      <c r="E12" s="572"/>
      <c r="F12" s="96"/>
      <c r="G12" s="127"/>
      <c r="H12" s="118"/>
      <c r="I12" s="118"/>
    </row>
    <row r="13" spans="1:9" x14ac:dyDescent="0.25">
      <c r="A13" s="128" t="s">
        <v>4</v>
      </c>
      <c r="B13" s="129"/>
      <c r="C13" s="130"/>
      <c r="D13" s="141"/>
      <c r="E13" s="131"/>
      <c r="F13" s="132"/>
      <c r="G13" s="66"/>
      <c r="H13" s="118"/>
      <c r="I13" s="118"/>
    </row>
    <row r="14" spans="1:9" x14ac:dyDescent="0.25">
      <c r="A14" s="128" t="s">
        <v>5</v>
      </c>
      <c r="B14" s="4"/>
      <c r="C14" s="68">
        <f>ROUND(CPI*D14,2)</f>
        <v>1.39</v>
      </c>
      <c r="D14" s="68">
        <v>1.04</v>
      </c>
      <c r="E14" s="131" t="s">
        <v>60</v>
      </c>
      <c r="F14" s="133"/>
      <c r="G14" s="66">
        <f>B14*C14</f>
        <v>0</v>
      </c>
      <c r="H14" s="118"/>
      <c r="I14" s="118"/>
    </row>
    <row r="15" spans="1:9" x14ac:dyDescent="0.25">
      <c r="A15" s="128" t="s">
        <v>6</v>
      </c>
      <c r="B15" s="4"/>
      <c r="C15" s="68">
        <f>ROUND(CPI*D15,2)</f>
        <v>1.78</v>
      </c>
      <c r="D15" s="68">
        <v>1.33</v>
      </c>
      <c r="E15" s="131" t="s">
        <v>60</v>
      </c>
      <c r="F15" s="133"/>
      <c r="G15" s="66">
        <f>B15*C15</f>
        <v>0</v>
      </c>
      <c r="H15" s="118"/>
      <c r="I15" s="118"/>
    </row>
    <row r="16" spans="1:9" x14ac:dyDescent="0.25">
      <c r="A16" s="128" t="s">
        <v>7</v>
      </c>
      <c r="B16" s="4"/>
      <c r="C16" s="68">
        <f>ROUND(CPI*D16,2)</f>
        <v>2.19</v>
      </c>
      <c r="D16" s="68">
        <v>1.64</v>
      </c>
      <c r="E16" s="131" t="s">
        <v>60</v>
      </c>
      <c r="F16" s="133"/>
      <c r="G16" s="66">
        <f>B16*C16</f>
        <v>0</v>
      </c>
      <c r="H16" s="118"/>
      <c r="I16" s="118"/>
    </row>
    <row r="17" spans="1:24" x14ac:dyDescent="0.25">
      <c r="A17" s="128" t="s">
        <v>8</v>
      </c>
      <c r="B17" s="4"/>
      <c r="C17" s="68">
        <f>ROUND(CPI*D17,2)</f>
        <v>2.98</v>
      </c>
      <c r="D17" s="68">
        <v>2.23</v>
      </c>
      <c r="E17" s="131" t="s">
        <v>60</v>
      </c>
      <c r="F17" s="133"/>
      <c r="G17" s="66">
        <f>B17*C17</f>
        <v>0</v>
      </c>
      <c r="H17" s="118"/>
      <c r="I17" s="118"/>
    </row>
    <row r="18" spans="1:24" x14ac:dyDescent="0.25">
      <c r="A18" s="23"/>
      <c r="B18" s="4"/>
      <c r="C18" s="60">
        <v>0</v>
      </c>
      <c r="D18" s="68"/>
      <c r="E18" s="131" t="s">
        <v>60</v>
      </c>
      <c r="F18" s="133"/>
      <c r="G18" s="66">
        <f>B18*C18</f>
        <v>0</v>
      </c>
      <c r="H18" s="118"/>
      <c r="I18" s="118"/>
    </row>
    <row r="19" spans="1:24" x14ac:dyDescent="0.25">
      <c r="A19" s="128"/>
      <c r="B19" s="129"/>
      <c r="C19" s="130"/>
      <c r="D19" s="68"/>
      <c r="E19" s="131"/>
      <c r="F19" s="132"/>
      <c r="G19" s="66"/>
      <c r="H19" s="118"/>
      <c r="I19" s="118"/>
    </row>
    <row r="20" spans="1:24" x14ac:dyDescent="0.25">
      <c r="A20" s="128" t="s">
        <v>9</v>
      </c>
      <c r="B20" s="129"/>
      <c r="C20" s="130"/>
      <c r="D20" s="68"/>
      <c r="E20" s="131"/>
      <c r="F20" s="132"/>
      <c r="G20" s="66"/>
      <c r="H20" s="118"/>
      <c r="I20" s="118"/>
    </row>
    <row r="21" spans="1:24" x14ac:dyDescent="0.25">
      <c r="A21" s="128" t="s">
        <v>10</v>
      </c>
      <c r="B21" s="4"/>
      <c r="C21" s="68">
        <f>ROUND(CPI*D21,2)</f>
        <v>5.73</v>
      </c>
      <c r="D21" s="68">
        <v>4.29</v>
      </c>
      <c r="E21" s="131" t="s">
        <v>60</v>
      </c>
      <c r="F21" s="133"/>
      <c r="G21" s="66">
        <f t="shared" ref="G21:G26" si="0">B21*C21</f>
        <v>0</v>
      </c>
      <c r="H21" s="114"/>
      <c r="I21" s="114"/>
      <c r="J21" s="134"/>
      <c r="K21" s="134"/>
      <c r="L21" s="134"/>
      <c r="M21" s="134"/>
      <c r="N21" s="134"/>
      <c r="O21" s="134"/>
      <c r="P21" s="134"/>
      <c r="Q21" s="134"/>
      <c r="R21" s="134"/>
      <c r="S21" s="134"/>
      <c r="T21" s="134"/>
      <c r="U21" s="134"/>
      <c r="V21" s="134"/>
      <c r="W21" s="134"/>
      <c r="X21" s="134"/>
    </row>
    <row r="22" spans="1:24" x14ac:dyDescent="0.25">
      <c r="A22" s="128" t="s">
        <v>13</v>
      </c>
      <c r="B22" s="4"/>
      <c r="C22" s="68">
        <f>ROUND(CPI*D22,2)</f>
        <v>5.57</v>
      </c>
      <c r="D22" s="68">
        <v>4.17</v>
      </c>
      <c r="E22" s="131" t="s">
        <v>60</v>
      </c>
      <c r="F22" s="133"/>
      <c r="G22" s="66">
        <f t="shared" si="0"/>
        <v>0</v>
      </c>
      <c r="H22" s="114"/>
      <c r="I22" s="114"/>
      <c r="J22" s="134"/>
      <c r="K22" s="134"/>
      <c r="L22" s="134"/>
      <c r="M22" s="134"/>
      <c r="N22" s="134"/>
      <c r="O22" s="134"/>
      <c r="P22" s="134"/>
      <c r="Q22" s="134"/>
      <c r="R22" s="134"/>
      <c r="S22" s="134"/>
      <c r="T22" s="134"/>
      <c r="U22" s="134"/>
      <c r="V22" s="134"/>
      <c r="W22" s="134"/>
      <c r="X22" s="134"/>
    </row>
    <row r="23" spans="1:24" x14ac:dyDescent="0.25">
      <c r="A23" s="128" t="s">
        <v>15</v>
      </c>
      <c r="B23" s="4"/>
      <c r="C23" s="68">
        <f>ROUND(CPI*D23,2)</f>
        <v>6.13</v>
      </c>
      <c r="D23" s="68">
        <v>4.59</v>
      </c>
      <c r="E23" s="131" t="s">
        <v>60</v>
      </c>
      <c r="F23" s="133"/>
      <c r="G23" s="66">
        <f t="shared" si="0"/>
        <v>0</v>
      </c>
      <c r="H23" s="114"/>
      <c r="I23" s="114"/>
      <c r="J23" s="134"/>
      <c r="K23" s="134"/>
      <c r="L23" s="134"/>
      <c r="M23" s="134"/>
      <c r="N23" s="134"/>
      <c r="O23" s="134"/>
      <c r="P23" s="134"/>
      <c r="Q23" s="134"/>
      <c r="R23" s="134"/>
      <c r="S23" s="134"/>
      <c r="T23" s="134"/>
      <c r="U23" s="134"/>
      <c r="V23" s="134"/>
      <c r="W23" s="134"/>
      <c r="X23" s="134"/>
    </row>
    <row r="24" spans="1:24" x14ac:dyDescent="0.25">
      <c r="A24" s="128" t="s">
        <v>85</v>
      </c>
      <c r="B24" s="4"/>
      <c r="C24" s="68">
        <f>ROUND(CPI*D24,2)</f>
        <v>2761.29</v>
      </c>
      <c r="D24" s="68">
        <v>2066.4499999999998</v>
      </c>
      <c r="E24" s="131" t="s">
        <v>57</v>
      </c>
      <c r="F24" s="141"/>
      <c r="G24" s="66">
        <f t="shared" si="0"/>
        <v>0</v>
      </c>
      <c r="H24" s="114"/>
      <c r="I24" s="114"/>
      <c r="J24" s="134"/>
      <c r="K24" s="134"/>
      <c r="L24" s="134"/>
      <c r="M24" s="134"/>
      <c r="N24" s="134"/>
      <c r="O24" s="134"/>
      <c r="P24" s="134"/>
      <c r="Q24" s="134"/>
      <c r="R24" s="134"/>
      <c r="S24" s="134"/>
      <c r="T24" s="134"/>
      <c r="U24" s="134"/>
      <c r="V24" s="134"/>
      <c r="W24" s="134"/>
      <c r="X24" s="134"/>
    </row>
    <row r="25" spans="1:24" x14ac:dyDescent="0.25">
      <c r="A25" s="128" t="s">
        <v>19</v>
      </c>
      <c r="B25" s="4"/>
      <c r="C25" s="68">
        <f>ROUND(CPI*D25,2)</f>
        <v>988.69</v>
      </c>
      <c r="D25" s="68">
        <v>739.9</v>
      </c>
      <c r="E25" s="131" t="s">
        <v>61</v>
      </c>
      <c r="F25" s="133"/>
      <c r="G25" s="66">
        <f t="shared" si="0"/>
        <v>0</v>
      </c>
      <c r="H25" s="118"/>
      <c r="I25" s="118"/>
    </row>
    <row r="26" spans="1:24" x14ac:dyDescent="0.25">
      <c r="A26" s="23"/>
      <c r="B26" s="4"/>
      <c r="C26" s="60">
        <v>0</v>
      </c>
      <c r="D26" s="60"/>
      <c r="E26" s="64"/>
      <c r="F26" s="133"/>
      <c r="G26" s="66">
        <f t="shared" si="0"/>
        <v>0</v>
      </c>
      <c r="H26" s="118"/>
      <c r="I26" s="118"/>
    </row>
    <row r="27" spans="1:24" x14ac:dyDescent="0.25">
      <c r="A27" s="128"/>
      <c r="B27" s="129"/>
      <c r="C27" s="130"/>
      <c r="D27" s="68"/>
      <c r="E27" s="131"/>
      <c r="F27" s="132"/>
      <c r="G27" s="66"/>
      <c r="H27" s="118"/>
      <c r="I27" s="118"/>
    </row>
    <row r="28" spans="1:24" x14ac:dyDescent="0.25">
      <c r="A28" s="128" t="s">
        <v>20</v>
      </c>
      <c r="B28" s="129"/>
      <c r="C28" s="130"/>
      <c r="D28" s="68"/>
      <c r="E28" s="131"/>
      <c r="F28" s="132"/>
      <c r="G28" s="66"/>
      <c r="H28" s="118"/>
      <c r="I28" s="118"/>
    </row>
    <row r="29" spans="1:24" x14ac:dyDescent="0.25">
      <c r="A29" s="128" t="s">
        <v>21</v>
      </c>
      <c r="B29" s="4"/>
      <c r="C29" s="68">
        <f t="shared" ref="C29:C34" si="1">ROUND(CPI*D29,2)</f>
        <v>16.940000000000001</v>
      </c>
      <c r="D29" s="68">
        <v>12.68</v>
      </c>
      <c r="E29" s="131" t="s">
        <v>58</v>
      </c>
      <c r="F29" s="133"/>
      <c r="G29" s="66">
        <f t="shared" ref="G29:G35" si="2">B29*C29</f>
        <v>0</v>
      </c>
      <c r="H29" s="118"/>
      <c r="I29" s="118"/>
    </row>
    <row r="30" spans="1:24" x14ac:dyDescent="0.25">
      <c r="A30" s="128" t="s">
        <v>82</v>
      </c>
      <c r="B30" s="4"/>
      <c r="C30" s="68">
        <f t="shared" si="1"/>
        <v>21.89</v>
      </c>
      <c r="D30" s="68">
        <v>16.38</v>
      </c>
      <c r="E30" s="131" t="s">
        <v>58</v>
      </c>
      <c r="F30" s="133"/>
      <c r="G30" s="66">
        <f t="shared" si="2"/>
        <v>0</v>
      </c>
      <c r="H30" s="118"/>
      <c r="I30" s="118"/>
    </row>
    <row r="31" spans="1:24" x14ac:dyDescent="0.25">
      <c r="A31" s="128" t="s">
        <v>81</v>
      </c>
      <c r="B31" s="4"/>
      <c r="C31" s="68">
        <f t="shared" si="1"/>
        <v>25.43</v>
      </c>
      <c r="D31" s="68">
        <v>19.03</v>
      </c>
      <c r="E31" s="131" t="s">
        <v>58</v>
      </c>
      <c r="F31" s="133"/>
      <c r="G31" s="66">
        <f t="shared" si="2"/>
        <v>0</v>
      </c>
      <c r="H31" s="118"/>
      <c r="I31" s="118"/>
    </row>
    <row r="32" spans="1:24" x14ac:dyDescent="0.25">
      <c r="A32" s="128" t="s">
        <v>86</v>
      </c>
      <c r="B32" s="4"/>
      <c r="C32" s="68">
        <f t="shared" si="1"/>
        <v>21.89</v>
      </c>
      <c r="D32" s="68">
        <v>16.38</v>
      </c>
      <c r="E32" s="131" t="s">
        <v>58</v>
      </c>
      <c r="F32" s="133"/>
      <c r="G32" s="66">
        <f t="shared" si="2"/>
        <v>0</v>
      </c>
      <c r="H32" s="118"/>
      <c r="I32" s="118"/>
    </row>
    <row r="33" spans="1:9" x14ac:dyDescent="0.25">
      <c r="A33" s="128" t="s">
        <v>22</v>
      </c>
      <c r="B33" s="4"/>
      <c r="C33" s="68">
        <f t="shared" si="1"/>
        <v>21.89</v>
      </c>
      <c r="D33" s="68">
        <v>16.38</v>
      </c>
      <c r="E33" s="131" t="s">
        <v>58</v>
      </c>
      <c r="F33" s="133"/>
      <c r="G33" s="66">
        <f t="shared" si="2"/>
        <v>0</v>
      </c>
      <c r="H33" s="118"/>
      <c r="I33" s="118"/>
    </row>
    <row r="34" spans="1:9" x14ac:dyDescent="0.25">
      <c r="A34" s="128" t="s">
        <v>23</v>
      </c>
      <c r="B34" s="4"/>
      <c r="C34" s="68">
        <f t="shared" si="1"/>
        <v>21.89</v>
      </c>
      <c r="D34" s="68">
        <v>16.38</v>
      </c>
      <c r="E34" s="131" t="s">
        <v>58</v>
      </c>
      <c r="F34" s="133"/>
      <c r="G34" s="66">
        <f t="shared" si="2"/>
        <v>0</v>
      </c>
      <c r="H34" s="118"/>
      <c r="I34" s="118"/>
    </row>
    <row r="35" spans="1:9" x14ac:dyDescent="0.25">
      <c r="A35" s="23"/>
      <c r="B35" s="4"/>
      <c r="C35" s="60">
        <v>0</v>
      </c>
      <c r="D35" s="60"/>
      <c r="E35" s="64"/>
      <c r="F35" s="133"/>
      <c r="G35" s="66">
        <f t="shared" si="2"/>
        <v>0</v>
      </c>
      <c r="H35" s="118"/>
      <c r="I35" s="118"/>
    </row>
    <row r="36" spans="1:9" x14ac:dyDescent="0.25">
      <c r="A36" s="128"/>
      <c r="B36" s="129"/>
      <c r="C36" s="130"/>
      <c r="D36" s="68"/>
      <c r="E36" s="131"/>
      <c r="F36" s="132"/>
      <c r="G36" s="66"/>
      <c r="H36" s="118"/>
      <c r="I36" s="118"/>
    </row>
    <row r="37" spans="1:9" x14ac:dyDescent="0.25">
      <c r="A37" s="128" t="s">
        <v>24</v>
      </c>
      <c r="B37" s="129"/>
      <c r="C37" s="130"/>
      <c r="D37" s="68"/>
      <c r="E37" s="131"/>
      <c r="F37" s="132"/>
      <c r="G37" s="66"/>
      <c r="H37" s="118"/>
      <c r="I37" s="118"/>
    </row>
    <row r="38" spans="1:9" x14ac:dyDescent="0.25">
      <c r="A38" s="128" t="s">
        <v>92</v>
      </c>
      <c r="B38" s="4"/>
      <c r="C38" s="68">
        <f t="shared" ref="C38:C50" si="3">ROUND(CPI*D38,2)</f>
        <v>109.47</v>
      </c>
      <c r="D38" s="68">
        <v>81.92</v>
      </c>
      <c r="E38" s="131" t="s">
        <v>61</v>
      </c>
      <c r="F38" s="133"/>
      <c r="G38" s="66">
        <f t="shared" ref="G38:G53" si="4">B38*C38</f>
        <v>0</v>
      </c>
      <c r="H38" s="118"/>
      <c r="I38" s="118"/>
    </row>
    <row r="39" spans="1:9" x14ac:dyDescent="0.25">
      <c r="A39" s="128" t="s">
        <v>93</v>
      </c>
      <c r="B39" s="4"/>
      <c r="C39" s="68">
        <f t="shared" si="3"/>
        <v>109.47</v>
      </c>
      <c r="D39" s="68">
        <v>81.92</v>
      </c>
      <c r="E39" s="131" t="s">
        <v>61</v>
      </c>
      <c r="F39" s="133"/>
      <c r="G39" s="66">
        <f t="shared" si="4"/>
        <v>0</v>
      </c>
      <c r="H39" s="118"/>
      <c r="I39" s="118"/>
    </row>
    <row r="40" spans="1:9" x14ac:dyDescent="0.25">
      <c r="A40" s="128" t="s">
        <v>77</v>
      </c>
      <c r="B40" s="4"/>
      <c r="C40" s="68">
        <f t="shared" si="3"/>
        <v>3.67</v>
      </c>
      <c r="D40" s="68">
        <v>2.75</v>
      </c>
      <c r="E40" s="131" t="s">
        <v>58</v>
      </c>
      <c r="F40" s="133"/>
      <c r="G40" s="66">
        <f t="shared" si="4"/>
        <v>0</v>
      </c>
      <c r="H40" s="118"/>
      <c r="I40" s="118"/>
    </row>
    <row r="41" spans="1:9" x14ac:dyDescent="0.25">
      <c r="A41" s="128" t="s">
        <v>75</v>
      </c>
      <c r="B41" s="4"/>
      <c r="C41" s="68">
        <f t="shared" si="3"/>
        <v>436.43</v>
      </c>
      <c r="D41" s="68">
        <v>326.61</v>
      </c>
      <c r="E41" s="131" t="s">
        <v>61</v>
      </c>
      <c r="F41" s="141"/>
      <c r="G41" s="66">
        <f t="shared" si="4"/>
        <v>0</v>
      </c>
      <c r="H41" s="118"/>
      <c r="I41" s="118"/>
    </row>
    <row r="42" spans="1:9" x14ac:dyDescent="0.25">
      <c r="A42" s="128" t="s">
        <v>76</v>
      </c>
      <c r="B42" s="4"/>
      <c r="C42" s="68">
        <f t="shared" si="3"/>
        <v>727.4</v>
      </c>
      <c r="D42" s="68">
        <v>544.36</v>
      </c>
      <c r="E42" s="131" t="s">
        <v>61</v>
      </c>
      <c r="F42" s="141"/>
      <c r="G42" s="66">
        <f t="shared" si="4"/>
        <v>0</v>
      </c>
      <c r="H42" s="118"/>
      <c r="I42" s="114"/>
    </row>
    <row r="43" spans="1:9" x14ac:dyDescent="0.25">
      <c r="A43" s="128" t="s">
        <v>80</v>
      </c>
      <c r="B43" s="4"/>
      <c r="C43" s="68">
        <f t="shared" si="3"/>
        <v>87.56</v>
      </c>
      <c r="D43" s="68">
        <v>65.53</v>
      </c>
      <c r="E43" s="131" t="s">
        <v>61</v>
      </c>
      <c r="F43" s="133"/>
      <c r="G43" s="66">
        <f t="shared" si="4"/>
        <v>0</v>
      </c>
      <c r="H43" s="118"/>
      <c r="I43" s="114"/>
    </row>
    <row r="44" spans="1:9" x14ac:dyDescent="0.25">
      <c r="A44" s="128" t="s">
        <v>88</v>
      </c>
      <c r="B44" s="4"/>
      <c r="C44" s="68">
        <f t="shared" si="3"/>
        <v>87.56</v>
      </c>
      <c r="D44" s="68">
        <v>65.53</v>
      </c>
      <c r="E44" s="131" t="s">
        <v>61</v>
      </c>
      <c r="F44" s="133"/>
      <c r="G44" s="66">
        <f t="shared" si="4"/>
        <v>0</v>
      </c>
      <c r="H44" s="118"/>
      <c r="I44" s="114"/>
    </row>
    <row r="45" spans="1:9" x14ac:dyDescent="0.25">
      <c r="A45" s="128" t="s">
        <v>89</v>
      </c>
      <c r="B45" s="4"/>
      <c r="C45" s="68">
        <f t="shared" si="3"/>
        <v>73.44</v>
      </c>
      <c r="D45" s="68">
        <v>54.96</v>
      </c>
      <c r="E45" s="131" t="s">
        <v>61</v>
      </c>
      <c r="F45" s="133"/>
      <c r="G45" s="66">
        <f t="shared" si="4"/>
        <v>0</v>
      </c>
      <c r="H45" s="118"/>
      <c r="I45" s="114"/>
    </row>
    <row r="46" spans="1:9" x14ac:dyDescent="0.25">
      <c r="A46" s="128" t="s">
        <v>83</v>
      </c>
      <c r="B46" s="4"/>
      <c r="C46" s="68">
        <f t="shared" si="3"/>
        <v>17.670000000000002</v>
      </c>
      <c r="D46" s="68">
        <v>13.22</v>
      </c>
      <c r="E46" s="131" t="s">
        <v>58</v>
      </c>
      <c r="F46" s="133"/>
      <c r="G46" s="66">
        <f t="shared" si="4"/>
        <v>0</v>
      </c>
      <c r="H46" s="118"/>
      <c r="I46" s="114"/>
    </row>
    <row r="47" spans="1:9" ht="12.75" customHeight="1" x14ac:dyDescent="0.25">
      <c r="A47" s="128" t="s">
        <v>221</v>
      </c>
      <c r="B47" s="4"/>
      <c r="C47" s="68">
        <f t="shared" si="3"/>
        <v>43.79</v>
      </c>
      <c r="D47" s="68">
        <v>32.770000000000003</v>
      </c>
      <c r="E47" s="131" t="s">
        <v>58</v>
      </c>
      <c r="F47" s="133"/>
      <c r="G47" s="66">
        <f t="shared" si="4"/>
        <v>0</v>
      </c>
      <c r="H47" s="118"/>
      <c r="I47" s="114"/>
    </row>
    <row r="48" spans="1:9" ht="12.75" customHeight="1" x14ac:dyDescent="0.25">
      <c r="A48" s="128" t="s">
        <v>28</v>
      </c>
      <c r="B48" s="4"/>
      <c r="C48" s="68">
        <f t="shared" si="3"/>
        <v>29.1</v>
      </c>
      <c r="D48" s="68">
        <v>21.78</v>
      </c>
      <c r="E48" s="131" t="s">
        <v>58</v>
      </c>
      <c r="F48" s="133"/>
      <c r="G48" s="66">
        <f t="shared" si="4"/>
        <v>0</v>
      </c>
      <c r="H48" s="118"/>
      <c r="I48" s="118"/>
    </row>
    <row r="49" spans="1:13" ht="12.75" customHeight="1" x14ac:dyDescent="0.25">
      <c r="A49" s="128" t="s">
        <v>29</v>
      </c>
      <c r="B49" s="4"/>
      <c r="C49" s="68">
        <f t="shared" si="3"/>
        <v>39.549999999999997</v>
      </c>
      <c r="D49" s="68">
        <v>29.6</v>
      </c>
      <c r="E49" s="131" t="s">
        <v>58</v>
      </c>
      <c r="F49" s="133"/>
      <c r="G49" s="66">
        <f t="shared" si="4"/>
        <v>0</v>
      </c>
      <c r="H49" s="118"/>
      <c r="I49" s="118"/>
    </row>
    <row r="50" spans="1:13" ht="12.75" customHeight="1" x14ac:dyDescent="0.25">
      <c r="A50" s="128" t="s">
        <v>30</v>
      </c>
      <c r="B50" s="4"/>
      <c r="C50" s="68">
        <f t="shared" si="3"/>
        <v>757.06</v>
      </c>
      <c r="D50" s="68">
        <v>566.55999999999995</v>
      </c>
      <c r="E50" s="131" t="s">
        <v>57</v>
      </c>
      <c r="F50" s="133"/>
      <c r="G50" s="66">
        <f t="shared" si="4"/>
        <v>0</v>
      </c>
      <c r="H50" s="118"/>
      <c r="I50" s="118"/>
    </row>
    <row r="51" spans="1:13" ht="12.75" customHeight="1" x14ac:dyDescent="0.25">
      <c r="A51" s="128" t="s">
        <v>492</v>
      </c>
      <c r="B51" s="4"/>
      <c r="C51" s="12">
        <v>0</v>
      </c>
      <c r="D51" s="35"/>
      <c r="E51" s="64" t="s">
        <v>57</v>
      </c>
      <c r="F51" s="133"/>
      <c r="G51" s="66">
        <f t="shared" ref="G51" si="5">B51*C51</f>
        <v>0</v>
      </c>
      <c r="H51" s="118"/>
      <c r="I51" s="118"/>
    </row>
    <row r="52" spans="1:13" ht="12.75" customHeight="1" x14ac:dyDescent="0.25">
      <c r="A52" s="67"/>
      <c r="B52" s="11"/>
      <c r="C52" s="65">
        <v>0</v>
      </c>
      <c r="D52" s="61"/>
      <c r="E52" s="62"/>
      <c r="F52" s="437"/>
      <c r="G52" s="263">
        <f t="shared" si="4"/>
        <v>0</v>
      </c>
      <c r="H52" s="118"/>
      <c r="I52" s="118"/>
    </row>
    <row r="53" spans="1:13" ht="12.75" customHeight="1" thickBot="1" x14ac:dyDescent="0.3">
      <c r="A53" s="19"/>
      <c r="B53" s="7"/>
      <c r="C53" s="17">
        <v>0</v>
      </c>
      <c r="D53" s="51"/>
      <c r="E53" s="18"/>
      <c r="F53" s="438"/>
      <c r="G53" s="148">
        <f t="shared" si="4"/>
        <v>0</v>
      </c>
      <c r="H53" s="118"/>
      <c r="I53" s="118"/>
    </row>
    <row r="54" spans="1:13" ht="12.75" customHeight="1" x14ac:dyDescent="0.25">
      <c r="A54" s="118"/>
      <c r="B54" s="122"/>
      <c r="C54" s="120"/>
      <c r="D54" s="120"/>
      <c r="E54" s="120"/>
      <c r="F54" s="118"/>
      <c r="G54" s="118"/>
      <c r="H54" s="118"/>
      <c r="I54" s="118"/>
    </row>
    <row r="55" spans="1:13" x14ac:dyDescent="0.25">
      <c r="A55" s="118"/>
      <c r="B55" s="158"/>
      <c r="C55" s="120"/>
      <c r="D55" s="120"/>
      <c r="E55" s="120"/>
      <c r="F55" s="150" t="s">
        <v>94</v>
      </c>
      <c r="G55" s="69">
        <f>SUM(G14:G53)</f>
        <v>0</v>
      </c>
      <c r="H55" s="118"/>
      <c r="I55" s="118"/>
      <c r="K55" s="164"/>
      <c r="L55" s="164"/>
      <c r="M55" s="150"/>
    </row>
    <row r="56" spans="1:13" x14ac:dyDescent="0.25">
      <c r="A56" s="114"/>
      <c r="B56" s="152"/>
      <c r="C56" s="153"/>
      <c r="D56" s="153"/>
      <c r="E56" s="120"/>
      <c r="F56" s="150" t="s">
        <v>222</v>
      </c>
      <c r="G56" s="70">
        <f>0.15*G55</f>
        <v>0</v>
      </c>
      <c r="H56" s="118"/>
      <c r="I56" s="118"/>
      <c r="K56" s="291"/>
      <c r="L56" s="164"/>
      <c r="M56" s="150"/>
    </row>
    <row r="57" spans="1:13" x14ac:dyDescent="0.25">
      <c r="A57" s="154"/>
      <c r="B57" s="152"/>
      <c r="C57" s="120"/>
      <c r="D57" s="120"/>
      <c r="E57" s="120"/>
      <c r="F57" s="150" t="s">
        <v>124</v>
      </c>
      <c r="G57" s="70">
        <f>0.12*(G55+G56)</f>
        <v>0</v>
      </c>
      <c r="H57" s="118"/>
      <c r="I57" s="118"/>
      <c r="K57" s="164"/>
      <c r="L57" s="164"/>
      <c r="M57" s="150"/>
    </row>
    <row r="58" spans="1:13" ht="13" thickBot="1" x14ac:dyDescent="0.3">
      <c r="A58" s="118"/>
      <c r="B58" s="122"/>
      <c r="C58" s="120"/>
      <c r="D58" s="120"/>
      <c r="E58" s="120"/>
      <c r="F58" s="150" t="s">
        <v>216</v>
      </c>
      <c r="G58" s="70">
        <f>SUM(G55:G57)</f>
        <v>0</v>
      </c>
      <c r="H58" s="118"/>
      <c r="I58" s="118"/>
      <c r="K58" s="164"/>
      <c r="L58" s="164"/>
      <c r="M58" s="150"/>
    </row>
    <row r="59" spans="1:13" ht="13.5" thickBot="1" x14ac:dyDescent="0.35">
      <c r="A59" s="118"/>
      <c r="B59" s="122"/>
      <c r="C59" s="120"/>
      <c r="D59" s="120"/>
      <c r="E59" s="120"/>
      <c r="F59" s="155" t="s">
        <v>279</v>
      </c>
      <c r="G59" s="71">
        <f>ROUNDUP(G58,-2)</f>
        <v>0</v>
      </c>
      <c r="H59" s="118"/>
      <c r="I59" s="118"/>
      <c r="K59" s="164"/>
      <c r="L59" s="164"/>
      <c r="M59" s="150"/>
    </row>
    <row r="60" spans="1:13" ht="13" x14ac:dyDescent="0.3">
      <c r="A60" s="118"/>
      <c r="B60" s="122"/>
      <c r="C60" s="120"/>
      <c r="D60" s="120"/>
      <c r="E60" s="156"/>
      <c r="F60" s="114"/>
      <c r="G60" s="157" t="s">
        <v>250</v>
      </c>
      <c r="H60" s="118"/>
      <c r="I60" s="118"/>
      <c r="K60" s="164"/>
      <c r="L60" s="164"/>
      <c r="M60" s="155"/>
    </row>
    <row r="61" spans="1:13" x14ac:dyDescent="0.25">
      <c r="A61" s="118"/>
      <c r="B61" s="122"/>
      <c r="C61" s="120"/>
      <c r="D61" s="120"/>
      <c r="E61" s="156"/>
      <c r="F61" s="114"/>
      <c r="G61" s="158"/>
      <c r="H61" s="118"/>
      <c r="I61" s="118"/>
    </row>
    <row r="62" spans="1:13" x14ac:dyDescent="0.25">
      <c r="A62" s="118"/>
      <c r="B62" s="156"/>
      <c r="C62" s="156"/>
      <c r="D62" s="156"/>
      <c r="E62" s="156"/>
      <c r="F62" s="114"/>
      <c r="G62" s="158"/>
      <c r="H62" s="118"/>
      <c r="I62" s="118"/>
    </row>
    <row r="63" spans="1:13" x14ac:dyDescent="0.25">
      <c r="A63" s="159"/>
      <c r="B63" s="439"/>
      <c r="C63" s="161"/>
      <c r="D63" s="161"/>
      <c r="E63" s="161"/>
      <c r="F63" s="144"/>
      <c r="G63" s="145"/>
      <c r="H63" s="165"/>
      <c r="I63" s="118"/>
    </row>
    <row r="64" spans="1:13" ht="13" x14ac:dyDescent="0.25">
      <c r="A64" s="440" t="s">
        <v>235</v>
      </c>
      <c r="B64" s="163"/>
      <c r="C64" s="164"/>
      <c r="D64" s="164"/>
      <c r="E64" s="164"/>
      <c r="F64" s="165"/>
      <c r="G64" s="166"/>
      <c r="H64" s="165"/>
      <c r="I64" s="118"/>
    </row>
    <row r="65" spans="1:10" ht="13" thickBot="1" x14ac:dyDescent="0.3">
      <c r="A65" s="167"/>
      <c r="B65" s="163"/>
      <c r="C65" s="164"/>
      <c r="D65" s="164"/>
      <c r="E65" s="164"/>
      <c r="F65" s="165"/>
      <c r="G65" s="166"/>
      <c r="H65" s="165"/>
      <c r="I65" s="118"/>
    </row>
    <row r="66" spans="1:10" ht="13.5" thickBot="1" x14ac:dyDescent="0.35">
      <c r="A66" s="441" t="s">
        <v>0</v>
      </c>
      <c r="B66" s="442" t="s">
        <v>1</v>
      </c>
      <c r="C66" s="630" t="s">
        <v>2</v>
      </c>
      <c r="D66" s="631"/>
      <c r="E66" s="631"/>
      <c r="F66" s="632"/>
      <c r="G66" s="443" t="s">
        <v>3</v>
      </c>
      <c r="H66" s="118"/>
      <c r="I66" s="118"/>
    </row>
    <row r="67" spans="1:10" ht="13" thickBot="1" x14ac:dyDescent="0.3">
      <c r="A67" s="444" t="s">
        <v>236</v>
      </c>
      <c r="B67" s="494"/>
      <c r="C67" s="72">
        <f>ROUND((1+Instructions!$D$6/100)*554.709723,2)</f>
        <v>562.12</v>
      </c>
      <c r="D67" s="445"/>
      <c r="E67" s="446" t="s">
        <v>57</v>
      </c>
      <c r="F67" s="447"/>
      <c r="G67" s="76">
        <f>B67*C67</f>
        <v>0</v>
      </c>
      <c r="H67" s="118"/>
      <c r="I67" s="118"/>
    </row>
    <row r="68" spans="1:10" x14ac:dyDescent="0.25">
      <c r="A68" s="167"/>
      <c r="B68" s="165"/>
      <c r="C68" s="165"/>
      <c r="D68" s="165"/>
      <c r="E68" s="165"/>
      <c r="F68" s="239"/>
      <c r="G68" s="166"/>
      <c r="H68" s="118"/>
      <c r="I68" s="118"/>
    </row>
    <row r="69" spans="1:10" x14ac:dyDescent="0.25">
      <c r="A69" s="167"/>
      <c r="B69" s="164"/>
      <c r="C69" s="164"/>
      <c r="D69" s="164"/>
      <c r="F69" s="150" t="s">
        <v>280</v>
      </c>
      <c r="G69" s="69">
        <f>G67</f>
        <v>0</v>
      </c>
      <c r="H69" s="118"/>
      <c r="I69" s="118"/>
    </row>
    <row r="70" spans="1:10" x14ac:dyDescent="0.25">
      <c r="A70" s="167"/>
      <c r="B70" s="291"/>
      <c r="C70" s="164"/>
      <c r="D70" s="164"/>
      <c r="F70" s="150" t="s">
        <v>281</v>
      </c>
      <c r="G70" s="73">
        <f>0.15*G69</f>
        <v>0</v>
      </c>
      <c r="H70" s="118"/>
      <c r="I70" s="118"/>
    </row>
    <row r="71" spans="1:10" x14ac:dyDescent="0.25">
      <c r="A71" s="167"/>
      <c r="B71" s="164"/>
      <c r="C71" s="164"/>
      <c r="D71" s="164"/>
      <c r="F71" s="150" t="s">
        <v>282</v>
      </c>
      <c r="G71" s="69">
        <f>0.12*(G69+G70)</f>
        <v>0</v>
      </c>
      <c r="H71" s="118"/>
      <c r="I71" s="118"/>
    </row>
    <row r="72" spans="1:10" ht="13" thickBot="1" x14ac:dyDescent="0.3">
      <c r="A72" s="167"/>
      <c r="B72" s="164"/>
      <c r="C72" s="164"/>
      <c r="D72" s="164"/>
      <c r="E72" s="150"/>
      <c r="F72" s="150" t="s">
        <v>283</v>
      </c>
      <c r="G72" s="74">
        <f>SUM(G69:G71)</f>
        <v>0</v>
      </c>
      <c r="H72" s="118"/>
      <c r="I72" s="118"/>
    </row>
    <row r="73" spans="1:10" ht="13.5" thickBot="1" x14ac:dyDescent="0.35">
      <c r="A73" s="167"/>
      <c r="B73" s="164"/>
      <c r="C73" s="164"/>
      <c r="D73" s="164"/>
      <c r="F73" s="155" t="s">
        <v>284</v>
      </c>
      <c r="G73" s="75">
        <f>ROUNDUP(SUM(G69:G71),-2)</f>
        <v>0</v>
      </c>
      <c r="H73" s="118"/>
      <c r="I73" s="118"/>
    </row>
    <row r="74" spans="1:10" x14ac:dyDescent="0.25">
      <c r="A74" s="170"/>
      <c r="B74" s="171"/>
      <c r="C74" s="172"/>
      <c r="D74" s="172"/>
      <c r="E74" s="172"/>
      <c r="F74" s="448"/>
      <c r="G74" s="449" t="s">
        <v>250</v>
      </c>
      <c r="H74" s="118"/>
      <c r="I74" s="118"/>
    </row>
    <row r="75" spans="1:10" x14ac:dyDescent="0.25">
      <c r="A75" s="118"/>
      <c r="B75" s="122"/>
      <c r="C75" s="120"/>
      <c r="D75" s="120"/>
      <c r="E75" s="120"/>
      <c r="F75" s="118"/>
      <c r="G75" s="118"/>
      <c r="H75" s="118"/>
      <c r="I75" s="118"/>
    </row>
    <row r="76" spans="1:10" ht="14" x14ac:dyDescent="0.3">
      <c r="A76" s="450"/>
      <c r="B76" s="451"/>
      <c r="C76" s="452"/>
      <c r="D76" s="452"/>
      <c r="E76" s="452"/>
      <c r="F76" s="452"/>
      <c r="G76" s="453"/>
      <c r="H76" s="452"/>
      <c r="I76" s="452"/>
      <c r="J76" s="452"/>
    </row>
  </sheetData>
  <sheetProtection algorithmName="SHA-512" hashValue="q9PB91bIREWhHztJDqPkwpQ9oY+JnSgyIo6XCo+y7BhfYavL/UJZ64shG59gXFo2YEJuYQciIa9ays0stgwOHA==" saltValue="lB10Jxz39KGlhVmHnM1/CQ==" spinCount="100000" sheet="1" insertRows="0" selectLockedCells="1"/>
  <customSheetViews>
    <customSheetView guid="{0CFDFAE3-BA5A-49B1-8AEF-ACE06B5A41A2}">
      <rowBreaks count="1" manualBreakCount="1">
        <brk id="59" max="5" man="1"/>
      </rowBreaks>
      <pageMargins left="0" right="0" top="0.51" bottom="0.4" header="0.23" footer="0.17"/>
      <printOptions horizontalCentered="1"/>
      <pageSetup scale="97" orientation="portrait" r:id="rId1"/>
      <headerFooter alignWithMargins="0">
        <oddFooter>&amp;LFees Effective 07/01/2011&amp;RPage &amp;P of &amp;N</oddFooter>
      </headerFooter>
    </customSheetView>
  </customSheetViews>
  <mergeCells count="3">
    <mergeCell ref="C11:F11"/>
    <mergeCell ref="C12:E12"/>
    <mergeCell ref="C66:F66"/>
  </mergeCells>
  <phoneticPr fontId="0" type="noConversion"/>
  <printOptions horizontalCentered="1"/>
  <pageMargins left="0.25" right="0.25" top="0.25" bottom="0.25" header="0.3" footer="0.3"/>
  <pageSetup scale="97" orientation="portrait" r:id="rId2"/>
  <headerFooter alignWithMargins="0">
    <oddFooter>&amp;LFees Effective 07/01/2023&amp;RPage &amp;P of &amp;N</oddFooter>
  </headerFooter>
  <rowBreaks count="1" manualBreakCount="1">
    <brk id="60" max="5" man="1"/>
  </rowBreak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Y36"/>
  <sheetViews>
    <sheetView workbookViewId="0">
      <selection activeCell="G17" sqref="G17"/>
    </sheetView>
  </sheetViews>
  <sheetFormatPr defaultRowHeight="12.5" x14ac:dyDescent="0.25"/>
  <cols>
    <col min="2" max="2" width="9.6328125" bestFit="1" customWidth="1"/>
    <col min="3" max="3" width="13.36328125" customWidth="1"/>
    <col min="4" max="4" width="13.54296875" customWidth="1"/>
    <col min="5" max="5" width="8.08984375" customWidth="1"/>
    <col min="7" max="7" width="11.90625" customWidth="1"/>
    <col min="8" max="8" width="12.90625" customWidth="1"/>
  </cols>
  <sheetData>
    <row r="1" spans="1:25" x14ac:dyDescent="0.25">
      <c r="D1" s="2"/>
    </row>
    <row r="2" spans="1:25" ht="185.25" customHeight="1" x14ac:dyDescent="0.25">
      <c r="I2" s="634" t="s">
        <v>536</v>
      </c>
      <c r="J2" s="635"/>
      <c r="K2" s="635"/>
      <c r="L2" s="635"/>
      <c r="M2" s="635"/>
      <c r="N2" s="635"/>
      <c r="O2" s="635"/>
      <c r="P2" s="635"/>
      <c r="Q2" s="635"/>
      <c r="R2" s="635"/>
      <c r="S2" s="635"/>
      <c r="T2" s="635"/>
      <c r="U2" s="635"/>
      <c r="V2" s="635"/>
      <c r="W2" s="635"/>
      <c r="X2" s="635"/>
      <c r="Y2" s="635"/>
    </row>
    <row r="3" spans="1:25" x14ac:dyDescent="0.25">
      <c r="I3" s="56" t="s">
        <v>533</v>
      </c>
    </row>
    <row r="4" spans="1:25" x14ac:dyDescent="0.25">
      <c r="B4" s="636" t="s">
        <v>499</v>
      </c>
      <c r="C4" s="636"/>
      <c r="D4" s="636"/>
      <c r="F4" s="636" t="s">
        <v>500</v>
      </c>
      <c r="G4" s="636"/>
      <c r="H4" s="636"/>
    </row>
    <row r="5" spans="1:25" ht="25" x14ac:dyDescent="0.25">
      <c r="A5" s="34"/>
      <c r="B5" s="36" t="s">
        <v>501</v>
      </c>
      <c r="C5" s="36" t="s">
        <v>434</v>
      </c>
      <c r="D5" s="37" t="s">
        <v>502</v>
      </c>
      <c r="F5" s="36" t="s">
        <v>501</v>
      </c>
      <c r="G5" s="36" t="s">
        <v>434</v>
      </c>
      <c r="H5" s="46" t="s">
        <v>502</v>
      </c>
      <c r="L5" s="633"/>
      <c r="M5" s="633"/>
      <c r="N5" s="633"/>
    </row>
    <row r="6" spans="1:25" ht="13" x14ac:dyDescent="0.3">
      <c r="B6" s="39"/>
      <c r="C6" s="38"/>
      <c r="D6" s="1">
        <f>PRODUCT(D7:D36)</f>
        <v>1.3362481111616307</v>
      </c>
      <c r="F6" s="45"/>
      <c r="G6" s="44"/>
      <c r="H6" s="50">
        <f>PRODUCT(H7:H36)</f>
        <v>1.3341243335994095</v>
      </c>
    </row>
    <row r="7" spans="1:25" x14ac:dyDescent="0.25">
      <c r="B7" s="40" t="s">
        <v>503</v>
      </c>
      <c r="C7" s="43">
        <v>1.4</v>
      </c>
      <c r="D7" s="49">
        <f>1+C7/100</f>
        <v>1.014</v>
      </c>
      <c r="F7" s="52" t="s">
        <v>503</v>
      </c>
      <c r="G7" s="48">
        <v>1</v>
      </c>
      <c r="H7" s="49">
        <f>1+G7/100</f>
        <v>1.01</v>
      </c>
    </row>
    <row r="8" spans="1:25" x14ac:dyDescent="0.25">
      <c r="B8" s="41" t="s">
        <v>504</v>
      </c>
      <c r="C8" s="42">
        <v>1.3009999999999999</v>
      </c>
      <c r="D8" s="49">
        <f t="shared" ref="D8:D36" si="0">1+C8/100</f>
        <v>1.01301</v>
      </c>
      <c r="F8" s="53" t="s">
        <v>504</v>
      </c>
      <c r="G8" s="47">
        <v>1.2470000000000001</v>
      </c>
      <c r="H8" s="49">
        <f t="shared" ref="H8:H36" si="1">1+G8/100</f>
        <v>1.01247</v>
      </c>
    </row>
    <row r="9" spans="1:25" x14ac:dyDescent="0.25">
      <c r="B9" s="41" t="s">
        <v>505</v>
      </c>
      <c r="C9" s="42">
        <v>1.8</v>
      </c>
      <c r="D9" s="49">
        <f t="shared" si="0"/>
        <v>1.018</v>
      </c>
      <c r="F9" s="53" t="s">
        <v>505</v>
      </c>
      <c r="G9" s="47">
        <v>1.7</v>
      </c>
      <c r="H9" s="49">
        <f t="shared" si="1"/>
        <v>1.0169999999999999</v>
      </c>
    </row>
    <row r="10" spans="1:25" x14ac:dyDescent="0.25">
      <c r="B10" s="41" t="s">
        <v>506</v>
      </c>
      <c r="C10" s="42">
        <v>2.5</v>
      </c>
      <c r="D10" s="49">
        <f t="shared" si="0"/>
        <v>1.0249999999999999</v>
      </c>
      <c r="F10" s="53" t="s">
        <v>506</v>
      </c>
      <c r="G10" s="47">
        <v>2.7</v>
      </c>
      <c r="H10" s="49">
        <f t="shared" si="1"/>
        <v>1.0269999999999999</v>
      </c>
    </row>
    <row r="11" spans="1:25" x14ac:dyDescent="0.25">
      <c r="B11" s="41" t="s">
        <v>507</v>
      </c>
      <c r="C11" s="42">
        <v>3.6</v>
      </c>
      <c r="D11" s="49">
        <f t="shared" si="0"/>
        <v>1.036</v>
      </c>
      <c r="F11" s="53" t="s">
        <v>507</v>
      </c>
      <c r="G11" s="47">
        <v>3.8</v>
      </c>
      <c r="H11" s="49">
        <f t="shared" si="1"/>
        <v>1.038</v>
      </c>
    </row>
    <row r="12" spans="1:25" x14ac:dyDescent="0.25">
      <c r="B12" s="41" t="s">
        <v>508</v>
      </c>
      <c r="C12" s="42">
        <v>2.7</v>
      </c>
      <c r="D12" s="49">
        <f t="shared" si="0"/>
        <v>1.0269999999999999</v>
      </c>
      <c r="F12" s="53" t="s">
        <v>508</v>
      </c>
      <c r="G12" s="47">
        <v>2.7</v>
      </c>
      <c r="H12" s="49">
        <f t="shared" si="1"/>
        <v>1.0269999999999999</v>
      </c>
    </row>
    <row r="13" spans="1:25" x14ac:dyDescent="0.25">
      <c r="B13" s="41" t="s">
        <v>509</v>
      </c>
      <c r="C13" s="42">
        <v>1.9</v>
      </c>
      <c r="D13" s="49">
        <f t="shared" si="0"/>
        <v>1.0189999999999999</v>
      </c>
      <c r="F13" s="53" t="s">
        <v>509</v>
      </c>
      <c r="G13" s="47">
        <v>1.9</v>
      </c>
      <c r="H13" s="49">
        <f t="shared" si="1"/>
        <v>1.0189999999999999</v>
      </c>
    </row>
    <row r="14" spans="1:25" x14ac:dyDescent="0.25">
      <c r="B14" s="41" t="s">
        <v>510</v>
      </c>
      <c r="C14" s="42">
        <v>2.2000000000000002</v>
      </c>
      <c r="D14" s="49">
        <f t="shared" si="0"/>
        <v>1.022</v>
      </c>
      <c r="F14" s="53" t="s">
        <v>510</v>
      </c>
      <c r="G14" s="47">
        <v>2.2000000000000002</v>
      </c>
      <c r="H14" s="49">
        <f t="shared" si="1"/>
        <v>1.022</v>
      </c>
    </row>
    <row r="15" spans="1:25" x14ac:dyDescent="0.25">
      <c r="B15" s="53" t="s">
        <v>511</v>
      </c>
      <c r="C15" s="54">
        <v>8.5</v>
      </c>
      <c r="D15" s="55">
        <f t="shared" si="0"/>
        <v>1.085</v>
      </c>
      <c r="F15" s="53" t="s">
        <v>511</v>
      </c>
      <c r="G15" s="54">
        <v>8.5</v>
      </c>
      <c r="H15" s="55">
        <f t="shared" si="1"/>
        <v>1.085</v>
      </c>
    </row>
    <row r="16" spans="1:25" x14ac:dyDescent="0.25">
      <c r="B16" s="53" t="s">
        <v>512</v>
      </c>
      <c r="C16" s="54">
        <v>3.7</v>
      </c>
      <c r="D16" s="55">
        <f t="shared" si="0"/>
        <v>1.0369999999999999</v>
      </c>
      <c r="F16" s="53" t="s">
        <v>512</v>
      </c>
      <c r="G16" s="54">
        <v>3.7</v>
      </c>
      <c r="H16" s="55">
        <f t="shared" si="1"/>
        <v>1.0369999999999999</v>
      </c>
    </row>
    <row r="17" spans="2:19" x14ac:dyDescent="0.25">
      <c r="B17" s="53" t="s">
        <v>513</v>
      </c>
      <c r="C17" s="54"/>
      <c r="D17" s="55">
        <f t="shared" si="0"/>
        <v>1</v>
      </c>
      <c r="F17" s="53" t="s">
        <v>513</v>
      </c>
      <c r="G17" s="54"/>
      <c r="H17" s="55">
        <f t="shared" si="1"/>
        <v>1</v>
      </c>
      <c r="S17" s="33"/>
    </row>
    <row r="18" spans="2:19" x14ac:dyDescent="0.25">
      <c r="B18" s="53" t="s">
        <v>514</v>
      </c>
      <c r="C18" s="54"/>
      <c r="D18" s="55">
        <f t="shared" si="0"/>
        <v>1</v>
      </c>
      <c r="F18" s="53" t="s">
        <v>514</v>
      </c>
      <c r="G18" s="54"/>
      <c r="H18" s="55">
        <f t="shared" si="1"/>
        <v>1</v>
      </c>
      <c r="S18" s="33"/>
    </row>
    <row r="19" spans="2:19" x14ac:dyDescent="0.25">
      <c r="B19" s="53" t="s">
        <v>515</v>
      </c>
      <c r="C19" s="54"/>
      <c r="D19" s="55">
        <f t="shared" si="0"/>
        <v>1</v>
      </c>
      <c r="F19" s="53" t="s">
        <v>515</v>
      </c>
      <c r="G19" s="54"/>
      <c r="H19" s="55">
        <f t="shared" si="1"/>
        <v>1</v>
      </c>
      <c r="S19" s="3"/>
    </row>
    <row r="20" spans="2:19" x14ac:dyDescent="0.25">
      <c r="B20" s="53" t="s">
        <v>516</v>
      </c>
      <c r="C20" s="54"/>
      <c r="D20" s="55">
        <f t="shared" si="0"/>
        <v>1</v>
      </c>
      <c r="F20" s="53" t="s">
        <v>516</v>
      </c>
      <c r="G20" s="54"/>
      <c r="H20" s="55">
        <f t="shared" si="1"/>
        <v>1</v>
      </c>
      <c r="S20" s="3"/>
    </row>
    <row r="21" spans="2:19" x14ac:dyDescent="0.25">
      <c r="B21" s="53" t="s">
        <v>517</v>
      </c>
      <c r="C21" s="54"/>
      <c r="D21" s="55">
        <f t="shared" si="0"/>
        <v>1</v>
      </c>
      <c r="F21" s="53" t="s">
        <v>517</v>
      </c>
      <c r="G21" s="54"/>
      <c r="H21" s="55">
        <f t="shared" si="1"/>
        <v>1</v>
      </c>
      <c r="S21" s="33"/>
    </row>
    <row r="22" spans="2:19" x14ac:dyDescent="0.25">
      <c r="B22" s="53" t="s">
        <v>518</v>
      </c>
      <c r="C22" s="54"/>
      <c r="D22" s="55">
        <f t="shared" si="0"/>
        <v>1</v>
      </c>
      <c r="F22" s="53" t="s">
        <v>518</v>
      </c>
      <c r="G22" s="54"/>
      <c r="H22" s="55">
        <f t="shared" si="1"/>
        <v>1</v>
      </c>
      <c r="S22" s="33"/>
    </row>
    <row r="23" spans="2:19" x14ac:dyDescent="0.25">
      <c r="B23" s="53" t="s">
        <v>519</v>
      </c>
      <c r="C23" s="54"/>
      <c r="D23" s="55">
        <f t="shared" si="0"/>
        <v>1</v>
      </c>
      <c r="F23" s="53" t="s">
        <v>519</v>
      </c>
      <c r="G23" s="54"/>
      <c r="H23" s="55">
        <f t="shared" si="1"/>
        <v>1</v>
      </c>
      <c r="S23" s="33"/>
    </row>
    <row r="24" spans="2:19" x14ac:dyDescent="0.25">
      <c r="B24" s="53" t="s">
        <v>520</v>
      </c>
      <c r="C24" s="54"/>
      <c r="D24" s="55">
        <f t="shared" si="0"/>
        <v>1</v>
      </c>
      <c r="F24" s="53" t="s">
        <v>520</v>
      </c>
      <c r="G24" s="54"/>
      <c r="H24" s="55">
        <f t="shared" si="1"/>
        <v>1</v>
      </c>
      <c r="S24" s="33"/>
    </row>
    <row r="25" spans="2:19" x14ac:dyDescent="0.25">
      <c r="B25" s="53" t="s">
        <v>521</v>
      </c>
      <c r="C25" s="54"/>
      <c r="D25" s="55">
        <f t="shared" si="0"/>
        <v>1</v>
      </c>
      <c r="F25" s="53" t="s">
        <v>521</v>
      </c>
      <c r="G25" s="54"/>
      <c r="H25" s="55">
        <f t="shared" si="1"/>
        <v>1</v>
      </c>
      <c r="S25" s="3"/>
    </row>
    <row r="26" spans="2:19" x14ac:dyDescent="0.25">
      <c r="B26" s="53" t="s">
        <v>522</v>
      </c>
      <c r="C26" s="54"/>
      <c r="D26" s="55">
        <f t="shared" si="0"/>
        <v>1</v>
      </c>
      <c r="F26" s="53" t="s">
        <v>522</v>
      </c>
      <c r="G26" s="54"/>
      <c r="H26" s="55">
        <f t="shared" si="1"/>
        <v>1</v>
      </c>
      <c r="S26" s="3"/>
    </row>
    <row r="27" spans="2:19" x14ac:dyDescent="0.25">
      <c r="B27" s="53" t="s">
        <v>523</v>
      </c>
      <c r="C27" s="54"/>
      <c r="D27" s="55">
        <f t="shared" si="0"/>
        <v>1</v>
      </c>
      <c r="F27" s="53" t="s">
        <v>523</v>
      </c>
      <c r="G27" s="54"/>
      <c r="H27" s="55">
        <f t="shared" si="1"/>
        <v>1</v>
      </c>
    </row>
    <row r="28" spans="2:19" x14ac:dyDescent="0.25">
      <c r="B28" s="53" t="s">
        <v>524</v>
      </c>
      <c r="C28" s="54"/>
      <c r="D28" s="55">
        <f t="shared" si="0"/>
        <v>1</v>
      </c>
      <c r="F28" s="53" t="s">
        <v>524</v>
      </c>
      <c r="G28" s="54"/>
      <c r="H28" s="55">
        <f t="shared" si="1"/>
        <v>1</v>
      </c>
    </row>
    <row r="29" spans="2:19" x14ac:dyDescent="0.25">
      <c r="B29" s="53" t="s">
        <v>525</v>
      </c>
      <c r="C29" s="54"/>
      <c r="D29" s="55">
        <f t="shared" si="0"/>
        <v>1</v>
      </c>
      <c r="F29" s="53" t="s">
        <v>525</v>
      </c>
      <c r="G29" s="54"/>
      <c r="H29" s="55">
        <f t="shared" si="1"/>
        <v>1</v>
      </c>
    </row>
    <row r="30" spans="2:19" x14ac:dyDescent="0.25">
      <c r="B30" s="53" t="s">
        <v>526</v>
      </c>
      <c r="C30" s="54"/>
      <c r="D30" s="55">
        <f t="shared" si="0"/>
        <v>1</v>
      </c>
      <c r="F30" s="53" t="s">
        <v>526</v>
      </c>
      <c r="G30" s="54"/>
      <c r="H30" s="55">
        <f t="shared" si="1"/>
        <v>1</v>
      </c>
    </row>
    <row r="31" spans="2:19" x14ac:dyDescent="0.25">
      <c r="B31" s="53" t="s">
        <v>527</v>
      </c>
      <c r="C31" s="54"/>
      <c r="D31" s="55">
        <f t="shared" si="0"/>
        <v>1</v>
      </c>
      <c r="F31" s="53" t="s">
        <v>527</v>
      </c>
      <c r="G31" s="54"/>
      <c r="H31" s="55">
        <f t="shared" si="1"/>
        <v>1</v>
      </c>
    </row>
    <row r="32" spans="2:19" x14ac:dyDescent="0.25">
      <c r="B32" t="s">
        <v>528</v>
      </c>
      <c r="C32" s="54"/>
      <c r="D32" s="55">
        <f t="shared" si="0"/>
        <v>1</v>
      </c>
      <c r="F32" t="s">
        <v>528</v>
      </c>
      <c r="G32" s="54"/>
      <c r="H32" s="55">
        <f t="shared" si="1"/>
        <v>1</v>
      </c>
    </row>
    <row r="33" spans="2:8" x14ac:dyDescent="0.25">
      <c r="B33" t="s">
        <v>529</v>
      </c>
      <c r="C33" s="54"/>
      <c r="D33" s="55">
        <f t="shared" si="0"/>
        <v>1</v>
      </c>
      <c r="F33" t="s">
        <v>529</v>
      </c>
      <c r="G33" s="54"/>
      <c r="H33" s="55">
        <f t="shared" si="1"/>
        <v>1</v>
      </c>
    </row>
    <row r="34" spans="2:8" x14ac:dyDescent="0.25">
      <c r="B34" t="s">
        <v>530</v>
      </c>
      <c r="C34" s="54"/>
      <c r="D34" s="55">
        <f t="shared" si="0"/>
        <v>1</v>
      </c>
      <c r="F34" t="s">
        <v>530</v>
      </c>
      <c r="G34" s="54"/>
      <c r="H34" s="55">
        <f t="shared" si="1"/>
        <v>1</v>
      </c>
    </row>
    <row r="35" spans="2:8" x14ac:dyDescent="0.25">
      <c r="B35" t="s">
        <v>531</v>
      </c>
      <c r="C35" s="54"/>
      <c r="D35" s="55">
        <f t="shared" si="0"/>
        <v>1</v>
      </c>
      <c r="F35" t="s">
        <v>531</v>
      </c>
      <c r="G35" s="54"/>
      <c r="H35" s="55">
        <f t="shared" si="1"/>
        <v>1</v>
      </c>
    </row>
    <row r="36" spans="2:8" x14ac:dyDescent="0.25">
      <c r="B36" t="s">
        <v>532</v>
      </c>
      <c r="C36" s="54"/>
      <c r="D36" s="55">
        <f t="shared" si="0"/>
        <v>1</v>
      </c>
      <c r="F36" t="s">
        <v>532</v>
      </c>
      <c r="G36" s="54"/>
      <c r="H36" s="55">
        <f t="shared" si="1"/>
        <v>1</v>
      </c>
    </row>
  </sheetData>
  <customSheetViews>
    <customSheetView guid="{0CFDFAE3-BA5A-49B1-8AEF-ACE06B5A41A2}">
      <selection sqref="A1:C1"/>
      <pageMargins left="0.7" right="0.7" top="0.75" bottom="0.75" header="0.3" footer="0.3"/>
    </customSheetView>
  </customSheetViews>
  <mergeCells count="4">
    <mergeCell ref="L5:N5"/>
    <mergeCell ref="I2:Y2"/>
    <mergeCell ref="F4:H4"/>
    <mergeCell ref="B4:D4"/>
  </mergeCells>
  <hyperlinks>
    <hyperlink ref="I3" r:id="rId1" xr:uid="{00000000-0004-0000-0800-000000000000}"/>
  </hyperlinks>
  <pageMargins left="0.7" right="0.7" top="0.75" bottom="0.75" header="0.3" footer="0.3"/>
  <pageSetup orientation="portrait" r:id="rId2"/>
</worksheet>
</file>

<file path=docMetadata/LabelInfo.xml><?xml version="1.0" encoding="utf-8"?>
<clbl:labelList xmlns:clbl="http://schemas.microsoft.com/office/2020/mipLabelMetadata">
  <clbl:label id="{07597248-ea38-451b-8abe-a638eddbac81}" enabled="0" method="" siteId="{07597248-ea38-451b-8abe-a638eddbac81}"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16</vt:i4>
      </vt:variant>
    </vt:vector>
  </HeadingPairs>
  <TitlesOfParts>
    <vt:vector size="25" baseType="lpstr">
      <vt:lpstr>Title Sheet</vt:lpstr>
      <vt:lpstr>Street Bond and Plan Check</vt:lpstr>
      <vt:lpstr>Signing and Striping</vt:lpstr>
      <vt:lpstr>Grading Bond and Plan Check Fee</vt:lpstr>
      <vt:lpstr>PD&amp;MTD Bond and Plan Check Fee</vt:lpstr>
      <vt:lpstr>Sewer Bond and Plan Check Fee</vt:lpstr>
      <vt:lpstr>Water Bond and Plan Check Fee</vt:lpstr>
      <vt:lpstr>Regional Planning</vt:lpstr>
      <vt:lpstr>Instructions</vt:lpstr>
      <vt:lpstr>CPI</vt:lpstr>
      <vt:lpstr>CPIWAT</vt:lpstr>
      <vt:lpstr>'PD&amp;MTD Bond and Plan Check Fee'!OLE_LINK1</vt:lpstr>
      <vt:lpstr>'Sewer Bond and Plan Check Fee'!OLE_LINK1</vt:lpstr>
      <vt:lpstr>'Street Bond and Plan Check'!OLE_LINK1</vt:lpstr>
      <vt:lpstr>'Water Bond and Plan Check Fee'!OLE_LINK1</vt:lpstr>
      <vt:lpstr>'PD&amp;MTD Bond and Plan Check Fee'!Print_Area</vt:lpstr>
      <vt:lpstr>'Regional Planning'!Print_Area</vt:lpstr>
      <vt:lpstr>'Sewer Bond and Plan Check Fee'!Print_Area</vt:lpstr>
      <vt:lpstr>'Water Bond and Plan Check Fee'!Print_Area</vt:lpstr>
      <vt:lpstr>'PD&amp;MTD Bond and Plan Check Fee'!Print_Titles</vt:lpstr>
      <vt:lpstr>'Regional Planning'!Print_Titles</vt:lpstr>
      <vt:lpstr>'Sewer Bond and Plan Check Fee'!Print_Titles</vt:lpstr>
      <vt:lpstr>'Signing and Striping'!Print_Titles</vt:lpstr>
      <vt:lpstr>'Street Bond and Plan Check'!Print_Titles</vt:lpstr>
      <vt:lpstr>'Water Bond and Plan Check Fee'!Print_Titles</vt:lpstr>
    </vt:vector>
  </TitlesOfParts>
  <Company>Los Angeles County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AIBRAHIM</dc:creator>
  <cp:lastModifiedBy>Diego Rivera</cp:lastModifiedBy>
  <cp:lastPrinted>2022-08-03T17:53:37Z</cp:lastPrinted>
  <dcterms:created xsi:type="dcterms:W3CDTF">2000-07-06T20:02:35Z</dcterms:created>
  <dcterms:modified xsi:type="dcterms:W3CDTF">2023-06-29T18:34:27Z</dcterms:modified>
</cp:coreProperties>
</file>